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showInkAnnotation="0"/>
  <mc:AlternateContent xmlns:mc="http://schemas.openxmlformats.org/markup-compatibility/2006">
    <mc:Choice Requires="x15">
      <x15ac:absPath xmlns:x15ac="http://schemas.microsoft.com/office/spreadsheetml/2010/11/ac" url="H:\Website\Archive process\June FY 26\"/>
    </mc:Choice>
  </mc:AlternateContent>
  <xr:revisionPtr revIDLastSave="0" documentId="13_ncr:1_{5FF7DB8C-39B5-4EB1-AE4B-D0E77824E60D}" xr6:coauthVersionLast="47" xr6:coauthVersionMax="47" xr10:uidLastSave="{00000000-0000-0000-0000-000000000000}"/>
  <bookViews>
    <workbookView xWindow="-110" yWindow="-110" windowWidth="25180" windowHeight="16140" activeTab="2" xr2:uid="{00000000-000D-0000-FFFF-FFFF00000000}"/>
  </bookViews>
  <sheets>
    <sheet name="FY26" sheetId="19" r:id="rId1"/>
    <sheet name="FY25" sheetId="15" r:id="rId2"/>
    <sheet name="FY24" sheetId="1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132" i="19" l="1"/>
  <c r="T132" i="19"/>
  <c r="U170" i="19"/>
  <c r="U162" i="19"/>
  <c r="T170" i="19"/>
  <c r="T162" i="19"/>
  <c r="T66" i="19"/>
  <c r="T67" i="19"/>
  <c r="S162" i="19"/>
  <c r="S6" i="19"/>
  <c r="R6" i="19"/>
  <c r="S132" i="19"/>
  <c r="R132" i="19"/>
  <c r="S65" i="19"/>
  <c r="S170" i="19"/>
  <c r="S149" i="19"/>
  <c r="R162" i="19"/>
  <c r="Q162" i="19"/>
  <c r="R170" i="19" l="1"/>
  <c r="R149" i="19"/>
  <c r="Q149" i="19"/>
  <c r="R66" i="19"/>
  <c r="Q132" i="19" l="1"/>
  <c r="P132" i="19"/>
  <c r="Q170" i="19"/>
  <c r="P162" i="19" l="1"/>
  <c r="P170" i="19"/>
  <c r="P149" i="19" l="1"/>
  <c r="P65" i="19"/>
  <c r="O132" i="19"/>
  <c r="O170" i="19" l="1"/>
  <c r="O162" i="19" l="1"/>
  <c r="O149" i="19"/>
  <c r="H6" i="19" l="1"/>
  <c r="N132" i="19"/>
  <c r="N170" i="19"/>
  <c r="N162" i="19"/>
  <c r="N66" i="19"/>
  <c r="N67" i="19"/>
  <c r="H5" i="19"/>
  <c r="I5" i="19"/>
  <c r="I6" i="19"/>
  <c r="H7" i="19"/>
  <c r="I7" i="19"/>
  <c r="H8" i="19"/>
  <c r="I8" i="19"/>
  <c r="H9" i="19"/>
  <c r="I9" i="19"/>
  <c r="H10" i="19"/>
  <c r="I10" i="19"/>
  <c r="G11" i="19"/>
  <c r="H11" i="19"/>
  <c r="I11" i="19"/>
  <c r="G24" i="19"/>
  <c r="H24" i="19"/>
  <c r="I24" i="19"/>
  <c r="G25" i="19"/>
  <c r="H25" i="19"/>
  <c r="I25" i="19"/>
  <c r="G26" i="19"/>
  <c r="H26" i="19"/>
  <c r="I26" i="19"/>
  <c r="G31" i="19"/>
  <c r="H31" i="19"/>
  <c r="I31" i="19"/>
  <c r="G32" i="19"/>
  <c r="H32" i="19"/>
  <c r="I32" i="19"/>
  <c r="G33" i="19"/>
  <c r="H33" i="19"/>
  <c r="I33" i="19"/>
  <c r="G34" i="19"/>
  <c r="H34" i="19"/>
  <c r="I34" i="19"/>
  <c r="G35" i="19"/>
  <c r="H35" i="19"/>
  <c r="I35" i="19"/>
  <c r="G36" i="19"/>
  <c r="H36" i="19"/>
  <c r="I36" i="19"/>
  <c r="G37" i="19"/>
  <c r="H37" i="19"/>
  <c r="I37" i="19"/>
  <c r="G38" i="19"/>
  <c r="H38" i="19"/>
  <c r="I38" i="19"/>
  <c r="G39" i="19"/>
  <c r="H39" i="19"/>
  <c r="I39" i="19"/>
  <c r="G40" i="19"/>
  <c r="H40" i="19"/>
  <c r="I40" i="19"/>
  <c r="G41" i="19"/>
  <c r="H41" i="19"/>
  <c r="I41" i="19"/>
  <c r="G42" i="19"/>
  <c r="H42" i="19"/>
  <c r="I42" i="19"/>
  <c r="H47" i="19"/>
  <c r="I47" i="19"/>
  <c r="H48" i="19"/>
  <c r="I48" i="19"/>
  <c r="H50" i="19"/>
  <c r="I50" i="19"/>
  <c r="H51" i="19"/>
  <c r="I51" i="19"/>
  <c r="H52" i="19"/>
  <c r="I52" i="19"/>
  <c r="G55" i="19"/>
  <c r="H55" i="19"/>
  <c r="I55" i="19"/>
  <c r="G56" i="19"/>
  <c r="H56" i="19"/>
  <c r="I56" i="19"/>
  <c r="G58" i="19"/>
  <c r="H58" i="19"/>
  <c r="I58" i="19"/>
  <c r="G59" i="19"/>
  <c r="H59" i="19"/>
  <c r="I59" i="19"/>
  <c r="G60" i="19"/>
  <c r="H60" i="19"/>
  <c r="I60" i="19"/>
  <c r="G61" i="19"/>
  <c r="H61" i="19"/>
  <c r="I61" i="19"/>
  <c r="H63" i="19"/>
  <c r="I63" i="19"/>
  <c r="H64" i="19"/>
  <c r="I64" i="19"/>
  <c r="J65" i="19"/>
  <c r="M65" i="19"/>
  <c r="J66" i="19"/>
  <c r="L67" i="19"/>
  <c r="H68" i="19"/>
  <c r="I68" i="19"/>
  <c r="H69" i="19"/>
  <c r="I69" i="19"/>
  <c r="H70" i="19"/>
  <c r="I70" i="19"/>
  <c r="H71" i="19"/>
  <c r="I71" i="19"/>
  <c r="H72" i="19"/>
  <c r="I72" i="19"/>
  <c r="G73" i="19"/>
  <c r="H73" i="19"/>
  <c r="I73" i="19"/>
  <c r="H74" i="19"/>
  <c r="I74" i="19"/>
  <c r="H77" i="19"/>
  <c r="I77" i="19"/>
  <c r="H78" i="19"/>
  <c r="I78" i="19"/>
  <c r="H79" i="19"/>
  <c r="I79" i="19"/>
  <c r="H83" i="19"/>
  <c r="I83" i="19"/>
  <c r="H87" i="19"/>
  <c r="I87" i="19"/>
  <c r="H88" i="19"/>
  <c r="I88" i="19"/>
  <c r="H89" i="19"/>
  <c r="I89" i="19"/>
  <c r="H91" i="19"/>
  <c r="I91" i="19"/>
  <c r="H92" i="19"/>
  <c r="I92" i="19"/>
  <c r="H93" i="19"/>
  <c r="I93" i="19"/>
  <c r="H97" i="19"/>
  <c r="I97" i="19"/>
  <c r="I98" i="19"/>
  <c r="H99" i="19"/>
  <c r="I99" i="19"/>
  <c r="G100" i="19"/>
  <c r="H100" i="19"/>
  <c r="I100" i="19"/>
  <c r="H107" i="19"/>
  <c r="I107" i="19"/>
  <c r="H108" i="19"/>
  <c r="I108" i="19"/>
  <c r="H109" i="19"/>
  <c r="I109" i="19"/>
  <c r="H110" i="19"/>
  <c r="I110" i="19"/>
  <c r="H111" i="19"/>
  <c r="I111" i="19"/>
  <c r="H112" i="19"/>
  <c r="I112" i="19"/>
  <c r="H113" i="19"/>
  <c r="I113" i="19"/>
  <c r="H114" i="19"/>
  <c r="I114" i="19"/>
  <c r="H115" i="19"/>
  <c r="I115" i="19"/>
  <c r="H118" i="19"/>
  <c r="I118" i="19"/>
  <c r="H119" i="19"/>
  <c r="I119" i="19"/>
  <c r="G120" i="19"/>
  <c r="H120" i="19"/>
  <c r="I120" i="19"/>
  <c r="G121" i="19"/>
  <c r="H121" i="19"/>
  <c r="I121" i="19"/>
  <c r="G122" i="19"/>
  <c r="H122" i="19"/>
  <c r="I122" i="19"/>
  <c r="G124" i="19"/>
  <c r="H124" i="19"/>
  <c r="I124" i="19"/>
  <c r="G125" i="19"/>
  <c r="H125" i="19"/>
  <c r="I125" i="19"/>
  <c r="G126" i="19"/>
  <c r="H126" i="19"/>
  <c r="I126" i="19"/>
  <c r="G127" i="19"/>
  <c r="H127" i="19"/>
  <c r="I127" i="19"/>
  <c r="G129" i="19"/>
  <c r="H129" i="19"/>
  <c r="I129" i="19"/>
  <c r="G130" i="19"/>
  <c r="H130" i="19"/>
  <c r="I130" i="19"/>
  <c r="G131" i="19"/>
  <c r="H131" i="19"/>
  <c r="I131" i="19"/>
  <c r="J132" i="19"/>
  <c r="K132" i="19"/>
  <c r="L132" i="19"/>
  <c r="M132" i="19"/>
  <c r="G133" i="19"/>
  <c r="H133" i="19"/>
  <c r="I133" i="19"/>
  <c r="G137" i="19"/>
  <c r="H137" i="19"/>
  <c r="I137" i="19"/>
  <c r="G138" i="19"/>
  <c r="H138" i="19"/>
  <c r="I138" i="19"/>
  <c r="G139" i="19"/>
  <c r="H139" i="19"/>
  <c r="I139" i="19"/>
  <c r="G140" i="19"/>
  <c r="H140" i="19"/>
  <c r="I140" i="19"/>
  <c r="G142" i="19"/>
  <c r="H142" i="19"/>
  <c r="I142" i="19"/>
  <c r="G143" i="19"/>
  <c r="H143" i="19"/>
  <c r="I143" i="19"/>
  <c r="G144" i="19"/>
  <c r="H144" i="19"/>
  <c r="I144" i="19"/>
  <c r="H146" i="19"/>
  <c r="I146" i="19"/>
  <c r="I149" i="19"/>
  <c r="H150" i="19"/>
  <c r="I150" i="19"/>
  <c r="H151" i="19"/>
  <c r="I151" i="19"/>
  <c r="H152" i="19"/>
  <c r="I152" i="19"/>
  <c r="H153" i="19"/>
  <c r="I153" i="19"/>
  <c r="H154" i="19"/>
  <c r="I154" i="19"/>
  <c r="H155" i="19"/>
  <c r="I155" i="19"/>
  <c r="H156" i="19"/>
  <c r="I156" i="19"/>
  <c r="H158" i="19"/>
  <c r="I158" i="19"/>
  <c r="H159" i="19"/>
  <c r="I159" i="19"/>
  <c r="H160" i="19"/>
  <c r="I160" i="19"/>
  <c r="H161" i="19"/>
  <c r="I161" i="19"/>
  <c r="K162" i="19"/>
  <c r="L162" i="19"/>
  <c r="M162" i="19"/>
  <c r="H164" i="19"/>
  <c r="I164" i="19"/>
  <c r="H165" i="19"/>
  <c r="I165" i="19"/>
  <c r="H167" i="19"/>
  <c r="I167" i="19"/>
  <c r="J170" i="19"/>
  <c r="K170" i="19"/>
  <c r="L170" i="19"/>
  <c r="M170" i="19"/>
  <c r="H67" i="19" l="1"/>
  <c r="I66" i="19"/>
  <c r="I132" i="19"/>
  <c r="H162" i="19"/>
  <c r="H65" i="19"/>
  <c r="H149" i="19"/>
  <c r="H66" i="19"/>
  <c r="H132" i="19"/>
  <c r="G132" i="19"/>
  <c r="I162" i="19"/>
  <c r="I65" i="19"/>
  <c r="I67" i="19"/>
  <c r="T135" i="15"/>
  <c r="T166" i="15"/>
  <c r="T152" i="15" l="1"/>
  <c r="T179" i="15" l="1"/>
  <c r="S179" i="15"/>
  <c r="S166" i="15" l="1"/>
  <c r="S135" i="15" l="1"/>
  <c r="G36" i="15"/>
  <c r="H36" i="15"/>
  <c r="G37" i="15"/>
  <c r="H37" i="15"/>
  <c r="G38" i="15"/>
  <c r="H38" i="15"/>
  <c r="G39" i="15"/>
  <c r="H39" i="15"/>
  <c r="G40" i="15"/>
  <c r="H40" i="15"/>
  <c r="G41" i="15"/>
  <c r="H41" i="15"/>
  <c r="G42" i="15"/>
  <c r="H42" i="15"/>
  <c r="H44" i="15"/>
  <c r="H45" i="15"/>
  <c r="H47" i="15"/>
  <c r="G6" i="18"/>
  <c r="H6" i="18"/>
  <c r="G7" i="18"/>
  <c r="H7" i="18"/>
  <c r="G8" i="18"/>
  <c r="H8" i="18"/>
  <c r="G9" i="18"/>
  <c r="H9" i="18"/>
  <c r="G10" i="18"/>
  <c r="H10" i="18"/>
  <c r="G11" i="18"/>
  <c r="H11" i="18"/>
  <c r="G12" i="18"/>
  <c r="H12" i="18"/>
  <c r="G25" i="18"/>
  <c r="H25" i="18"/>
  <c r="G26" i="18"/>
  <c r="H26" i="18"/>
  <c r="G27" i="18"/>
  <c r="H27" i="18"/>
  <c r="G32" i="18"/>
  <c r="H32" i="18"/>
  <c r="G33" i="18"/>
  <c r="H33" i="18"/>
  <c r="G34" i="18"/>
  <c r="H34" i="18"/>
  <c r="G35" i="18"/>
  <c r="H35" i="18"/>
  <c r="G36" i="18"/>
  <c r="H36" i="18"/>
  <c r="G37" i="18"/>
  <c r="H37" i="18"/>
  <c r="G38" i="18"/>
  <c r="H38" i="18"/>
  <c r="G39" i="18"/>
  <c r="H39" i="18"/>
  <c r="G40" i="18"/>
  <c r="H40" i="18"/>
  <c r="G41" i="18"/>
  <c r="H41" i="18"/>
  <c r="G42" i="18"/>
  <c r="H42" i="18"/>
  <c r="G43" i="18"/>
  <c r="H43" i="18"/>
  <c r="G45" i="18"/>
  <c r="H45" i="18"/>
  <c r="G46" i="18"/>
  <c r="H46" i="18"/>
  <c r="G47" i="18"/>
  <c r="H47" i="18"/>
  <c r="G50" i="18"/>
  <c r="H50" i="18"/>
  <c r="G51" i="18"/>
  <c r="H51" i="18"/>
  <c r="G53" i="18"/>
  <c r="H53" i="18"/>
  <c r="G54" i="18"/>
  <c r="H54" i="18"/>
  <c r="G55" i="18"/>
  <c r="H55" i="18"/>
  <c r="G56" i="18"/>
  <c r="H56" i="18"/>
  <c r="G58" i="18"/>
  <c r="H58" i="18"/>
  <c r="G59" i="18"/>
  <c r="H59" i="18"/>
  <c r="G60" i="18"/>
  <c r="H60" i="18"/>
  <c r="G61" i="18"/>
  <c r="H61" i="18"/>
  <c r="G62" i="18"/>
  <c r="H62" i="18"/>
  <c r="G63" i="18"/>
  <c r="H63" i="18"/>
  <c r="G65" i="18"/>
  <c r="H65" i="18"/>
  <c r="G66" i="18"/>
  <c r="H66" i="18"/>
  <c r="I67" i="18"/>
  <c r="G67" i="18" s="1"/>
  <c r="L67" i="18"/>
  <c r="O67" i="18"/>
  <c r="O75" i="18" s="1"/>
  <c r="R67" i="18"/>
  <c r="T67" i="18"/>
  <c r="I68" i="18"/>
  <c r="G68" i="18" s="1"/>
  <c r="R68" i="18"/>
  <c r="S68" i="18"/>
  <c r="J69" i="18"/>
  <c r="G69" i="18" s="1"/>
  <c r="K69" i="18"/>
  <c r="L69" i="18"/>
  <c r="M69" i="18"/>
  <c r="N69" i="18"/>
  <c r="O69" i="18"/>
  <c r="P69" i="18"/>
  <c r="Q69" i="18"/>
  <c r="S69" i="18"/>
  <c r="T69" i="18"/>
  <c r="G70" i="18"/>
  <c r="H70" i="18"/>
  <c r="G71" i="18"/>
  <c r="H71" i="18"/>
  <c r="G72" i="18"/>
  <c r="H72" i="18"/>
  <c r="G73" i="18"/>
  <c r="H73" i="18"/>
  <c r="G74" i="18"/>
  <c r="H74" i="18"/>
  <c r="N75" i="18"/>
  <c r="G75" i="18" s="1"/>
  <c r="G76" i="18"/>
  <c r="H76" i="18"/>
  <c r="G79" i="18"/>
  <c r="H79" i="18"/>
  <c r="G80" i="18"/>
  <c r="H80" i="18"/>
  <c r="G81" i="18"/>
  <c r="H81" i="18"/>
  <c r="G85" i="18"/>
  <c r="H85" i="18"/>
  <c r="G89" i="18"/>
  <c r="H89" i="18"/>
  <c r="G90" i="18"/>
  <c r="H90" i="18"/>
  <c r="G91" i="18"/>
  <c r="H91" i="18"/>
  <c r="G93" i="18"/>
  <c r="H93" i="18"/>
  <c r="G94" i="18"/>
  <c r="H94" i="18"/>
  <c r="G95" i="18"/>
  <c r="H95" i="18"/>
  <c r="G99" i="18"/>
  <c r="H99" i="18"/>
  <c r="G100" i="18"/>
  <c r="H100" i="18"/>
  <c r="G101" i="18"/>
  <c r="H101" i="18"/>
  <c r="G108" i="18"/>
  <c r="H108" i="18"/>
  <c r="G109" i="18"/>
  <c r="H109" i="18"/>
  <c r="G110" i="18"/>
  <c r="H110" i="18"/>
  <c r="G111" i="18"/>
  <c r="H111" i="18"/>
  <c r="G112" i="18"/>
  <c r="H112" i="18"/>
  <c r="G113" i="18"/>
  <c r="H113" i="18"/>
  <c r="G114" i="18"/>
  <c r="H114" i="18"/>
  <c r="G115" i="18"/>
  <c r="H115" i="18"/>
  <c r="G116" i="18"/>
  <c r="H116" i="18"/>
  <c r="G119" i="18"/>
  <c r="H119" i="18"/>
  <c r="G120" i="18"/>
  <c r="H120" i="18"/>
  <c r="G121" i="18"/>
  <c r="H121" i="18"/>
  <c r="G122" i="18"/>
  <c r="H122" i="18"/>
  <c r="G123" i="18"/>
  <c r="H123" i="18"/>
  <c r="G125" i="18"/>
  <c r="H125" i="18"/>
  <c r="G126" i="18"/>
  <c r="H126" i="18"/>
  <c r="G127" i="18"/>
  <c r="H127" i="18"/>
  <c r="G128" i="18"/>
  <c r="H128" i="18"/>
  <c r="G130" i="18"/>
  <c r="H130" i="18"/>
  <c r="G131" i="18"/>
  <c r="H131" i="18"/>
  <c r="G132" i="18"/>
  <c r="H132" i="18"/>
  <c r="I133" i="18"/>
  <c r="G133" i="18" s="1"/>
  <c r="J133" i="18"/>
  <c r="H133" i="18" s="1"/>
  <c r="K133" i="18"/>
  <c r="L133" i="18"/>
  <c r="M133" i="18"/>
  <c r="N133" i="18"/>
  <c r="O133" i="18"/>
  <c r="P133" i="18"/>
  <c r="Q133" i="18"/>
  <c r="R133" i="18"/>
  <c r="S133" i="18"/>
  <c r="T133" i="18"/>
  <c r="G134" i="18"/>
  <c r="H134" i="18"/>
  <c r="G138" i="18"/>
  <c r="H138" i="18"/>
  <c r="G139" i="18"/>
  <c r="H139" i="18"/>
  <c r="G140" i="18"/>
  <c r="H140" i="18"/>
  <c r="G141" i="18"/>
  <c r="H141" i="18"/>
  <c r="G143" i="18"/>
  <c r="H143" i="18"/>
  <c r="G144" i="18"/>
  <c r="H144" i="18"/>
  <c r="G145" i="18"/>
  <c r="H145" i="18"/>
  <c r="G147" i="18"/>
  <c r="H147" i="18"/>
  <c r="K150" i="18"/>
  <c r="L150" i="18"/>
  <c r="N150" i="18"/>
  <c r="R150" i="18"/>
  <c r="S150" i="18"/>
  <c r="T151" i="18"/>
  <c r="G151" i="18" s="1"/>
  <c r="G150" i="18" s="1"/>
  <c r="G152" i="18"/>
  <c r="H152" i="18"/>
  <c r="G153" i="18"/>
  <c r="H153" i="18"/>
  <c r="G154" i="18"/>
  <c r="H154" i="18"/>
  <c r="G155" i="18"/>
  <c r="H155" i="18"/>
  <c r="G156" i="18"/>
  <c r="H156" i="18"/>
  <c r="G158" i="18"/>
  <c r="H158" i="18"/>
  <c r="I158" i="18"/>
  <c r="J158" i="18"/>
  <c r="L158" i="18"/>
  <c r="P158" i="18"/>
  <c r="R158" i="18"/>
  <c r="O159" i="18"/>
  <c r="G159" i="18" s="1"/>
  <c r="G160" i="18"/>
  <c r="H160" i="18"/>
  <c r="G161" i="18"/>
  <c r="H161" i="18"/>
  <c r="L161" i="18"/>
  <c r="G162" i="18"/>
  <c r="H162" i="18"/>
  <c r="K163" i="18"/>
  <c r="G163" i="18" s="1"/>
  <c r="L163" i="18"/>
  <c r="N163" i="18"/>
  <c r="O163" i="18"/>
  <c r="P163" i="18"/>
  <c r="Q163" i="18"/>
  <c r="R163" i="18"/>
  <c r="S163" i="18"/>
  <c r="T163" i="18"/>
  <c r="G165" i="18"/>
  <c r="H165" i="18"/>
  <c r="G166" i="18"/>
  <c r="H166" i="18"/>
  <c r="G167" i="18"/>
  <c r="H167" i="18"/>
  <c r="G168" i="18"/>
  <c r="H168" i="18"/>
  <c r="G169" i="18"/>
  <c r="H169" i="18"/>
  <c r="G170" i="18"/>
  <c r="H170" i="18"/>
  <c r="G171" i="18"/>
  <c r="H171" i="18"/>
  <c r="G173" i="18"/>
  <c r="H173" i="18"/>
  <c r="I176" i="18"/>
  <c r="J176" i="18"/>
  <c r="K176" i="18"/>
  <c r="L176" i="18"/>
  <c r="M176" i="18"/>
  <c r="N176" i="18"/>
  <c r="O176" i="18"/>
  <c r="P176" i="18"/>
  <c r="Q176" i="18"/>
  <c r="R176" i="18"/>
  <c r="S176" i="18"/>
  <c r="T176" i="18"/>
  <c r="G181" i="18"/>
  <c r="H181" i="18"/>
  <c r="G182" i="18"/>
  <c r="H182" i="18"/>
  <c r="G183" i="18"/>
  <c r="H183" i="18"/>
  <c r="I183" i="18"/>
  <c r="J183" i="18"/>
  <c r="K183" i="18"/>
  <c r="L183" i="18"/>
  <c r="M183" i="18"/>
  <c r="N183" i="18"/>
  <c r="O183" i="18"/>
  <c r="P183" i="18"/>
  <c r="Q183" i="18"/>
  <c r="R183" i="18"/>
  <c r="S183" i="18"/>
  <c r="T183" i="18"/>
  <c r="G186" i="18"/>
  <c r="H186" i="18"/>
  <c r="G187" i="18"/>
  <c r="H187" i="18"/>
  <c r="G188" i="18"/>
  <c r="H188" i="18"/>
  <c r="K188" i="18"/>
  <c r="L188" i="18"/>
  <c r="M188" i="18"/>
  <c r="N188" i="18"/>
  <c r="O188" i="18"/>
  <c r="P188" i="18"/>
  <c r="Q188" i="18"/>
  <c r="R188" i="18"/>
  <c r="S188" i="18"/>
  <c r="T188" i="18"/>
  <c r="G191" i="18"/>
  <c r="H191" i="18"/>
  <c r="G192" i="18"/>
  <c r="H192" i="18"/>
  <c r="G193" i="18"/>
  <c r="H193" i="18"/>
  <c r="I193" i="18"/>
  <c r="J193" i="18"/>
  <c r="K193" i="18"/>
  <c r="L193" i="18"/>
  <c r="M193" i="18"/>
  <c r="N193" i="18"/>
  <c r="O193" i="18"/>
  <c r="P193" i="18"/>
  <c r="Q193" i="18"/>
  <c r="R193" i="18"/>
  <c r="S193" i="18"/>
  <c r="T193" i="18"/>
  <c r="G197" i="18"/>
  <c r="G199" i="18" s="1"/>
  <c r="H197" i="18"/>
  <c r="H199" i="18" s="1"/>
  <c r="G198" i="18"/>
  <c r="H198" i="18"/>
  <c r="I199" i="18"/>
  <c r="J199" i="18"/>
  <c r="K199" i="18"/>
  <c r="L199" i="18"/>
  <c r="M199" i="18"/>
  <c r="N199" i="18"/>
  <c r="O199" i="18"/>
  <c r="P199" i="18"/>
  <c r="Q199" i="18"/>
  <c r="R199" i="18"/>
  <c r="S199" i="18"/>
  <c r="T199" i="18"/>
  <c r="G202" i="18"/>
  <c r="H202" i="18"/>
  <c r="G203" i="18"/>
  <c r="H203" i="18"/>
  <c r="G204" i="18"/>
  <c r="H204" i="18"/>
  <c r="I204" i="18"/>
  <c r="J204" i="18"/>
  <c r="K204" i="18"/>
  <c r="L204" i="18"/>
  <c r="M204" i="18"/>
  <c r="N204" i="18"/>
  <c r="O204" i="18"/>
  <c r="P204" i="18"/>
  <c r="Q204" i="18"/>
  <c r="R204" i="18"/>
  <c r="S204" i="18"/>
  <c r="T204" i="18"/>
  <c r="G208" i="18"/>
  <c r="G210" i="18" s="1"/>
  <c r="H208" i="18"/>
  <c r="H210" i="18" s="1"/>
  <c r="G209" i="18"/>
  <c r="H209" i="18"/>
  <c r="I210" i="18"/>
  <c r="J210" i="18"/>
  <c r="K210" i="18"/>
  <c r="L210" i="18"/>
  <c r="M210" i="18"/>
  <c r="N210" i="18"/>
  <c r="O210" i="18"/>
  <c r="P210" i="18"/>
  <c r="Q210" i="18"/>
  <c r="R210" i="18"/>
  <c r="S210" i="18"/>
  <c r="T210" i="18"/>
  <c r="G213" i="18"/>
  <c r="H213" i="18"/>
  <c r="G214" i="18"/>
  <c r="H214" i="18"/>
  <c r="G215" i="18"/>
  <c r="H215" i="18"/>
  <c r="I215" i="18"/>
  <c r="J215" i="18"/>
  <c r="K215" i="18"/>
  <c r="L215" i="18"/>
  <c r="M215" i="18"/>
  <c r="N215" i="18"/>
  <c r="O215" i="18"/>
  <c r="P215" i="18"/>
  <c r="Q215" i="18"/>
  <c r="R215" i="18"/>
  <c r="S215" i="18"/>
  <c r="T215" i="18"/>
  <c r="G218" i="18"/>
  <c r="G220" i="18" s="1"/>
  <c r="H218" i="18"/>
  <c r="H220" i="18" s="1"/>
  <c r="G219" i="18"/>
  <c r="H219" i="18"/>
  <c r="I220" i="18"/>
  <c r="J220" i="18"/>
  <c r="K220" i="18"/>
  <c r="L220" i="18"/>
  <c r="M220" i="18"/>
  <c r="N220" i="18"/>
  <c r="O220" i="18"/>
  <c r="P220" i="18"/>
  <c r="Q220" i="18"/>
  <c r="R220" i="18"/>
  <c r="S220" i="18"/>
  <c r="T220" i="18"/>
  <c r="G223" i="18"/>
  <c r="H223" i="18"/>
  <c r="G224" i="18"/>
  <c r="H224" i="18"/>
  <c r="G225" i="18"/>
  <c r="H225" i="18"/>
  <c r="I225" i="18"/>
  <c r="J225" i="18"/>
  <c r="K225" i="18"/>
  <c r="L225" i="18"/>
  <c r="M225" i="18"/>
  <c r="N225" i="18"/>
  <c r="O225" i="18"/>
  <c r="P225" i="18"/>
  <c r="Q225" i="18"/>
  <c r="R225" i="18"/>
  <c r="S225" i="18"/>
  <c r="T225" i="18"/>
  <c r="G228" i="18"/>
  <c r="G230" i="18" s="1"/>
  <c r="H228" i="18"/>
  <c r="H230" i="18" s="1"/>
  <c r="G229" i="18"/>
  <c r="H229" i="18"/>
  <c r="I230" i="18"/>
  <c r="J230" i="18"/>
  <c r="K230" i="18"/>
  <c r="L230" i="18"/>
  <c r="M230" i="18"/>
  <c r="N230" i="18"/>
  <c r="O230" i="18"/>
  <c r="P230" i="18"/>
  <c r="Q230" i="18"/>
  <c r="R230" i="18"/>
  <c r="S230" i="18"/>
  <c r="T230" i="18"/>
  <c r="G233" i="18"/>
  <c r="H233" i="18"/>
  <c r="G234" i="18"/>
  <c r="H234" i="18"/>
  <c r="G235" i="18"/>
  <c r="H235" i="18"/>
  <c r="I235" i="18"/>
  <c r="J235" i="18"/>
  <c r="K235" i="18"/>
  <c r="L235" i="18"/>
  <c r="M235" i="18"/>
  <c r="N235" i="18"/>
  <c r="O235" i="18"/>
  <c r="P235" i="18"/>
  <c r="Q235" i="18"/>
  <c r="R235" i="18"/>
  <c r="S235" i="18"/>
  <c r="T235" i="18"/>
  <c r="H151" i="18" l="1"/>
  <c r="H150" i="18" s="1"/>
  <c r="H69" i="18"/>
  <c r="H67" i="18"/>
  <c r="H159" i="18"/>
  <c r="H75" i="18"/>
  <c r="H163" i="18"/>
  <c r="H68" i="18"/>
  <c r="R135" i="15" l="1"/>
  <c r="R179" i="15"/>
  <c r="R152" i="15"/>
  <c r="R71" i="15"/>
  <c r="R69" i="15"/>
  <c r="R166" i="15"/>
  <c r="Q135" i="15"/>
  <c r="Q179" i="15"/>
  <c r="Q166" i="15"/>
  <c r="Q152" i="15"/>
  <c r="Q70" i="15" l="1"/>
  <c r="Q71" i="15"/>
  <c r="P179" i="15" l="1"/>
  <c r="P152" i="15"/>
  <c r="P166" i="15" l="1"/>
  <c r="P135" i="15" l="1"/>
  <c r="H64" i="15"/>
  <c r="H65" i="15"/>
  <c r="H154" i="15"/>
  <c r="O152" i="15"/>
  <c r="O166" i="15" l="1"/>
  <c r="O179" i="15"/>
  <c r="O69" i="15"/>
  <c r="O135" i="15"/>
  <c r="M166" i="15"/>
  <c r="N166" i="15"/>
  <c r="N179" i="15"/>
  <c r="N152" i="15"/>
  <c r="N135" i="15" l="1"/>
  <c r="N70" i="15"/>
  <c r="M179" i="15" l="1"/>
  <c r="M152" i="15"/>
  <c r="M135" i="15" l="1"/>
  <c r="H60" i="15"/>
  <c r="H61" i="15"/>
  <c r="H62" i="15"/>
  <c r="H63" i="15"/>
  <c r="L179" i="15"/>
  <c r="L166" i="15"/>
  <c r="K152" i="15"/>
  <c r="L152" i="15"/>
  <c r="L135" i="15" l="1"/>
  <c r="L70" i="15"/>
  <c r="L71" i="15"/>
  <c r="L69" i="15"/>
  <c r="K179" i="15" l="1"/>
  <c r="K166" i="15"/>
  <c r="K135" i="15"/>
  <c r="K71" i="15" l="1"/>
  <c r="K70" i="15"/>
  <c r="J152" i="15" l="1"/>
  <c r="J71" i="15" l="1"/>
  <c r="J179" i="15"/>
  <c r="J135" i="15"/>
  <c r="J166" i="15"/>
  <c r="H83" i="15"/>
  <c r="H82" i="15"/>
  <c r="H81" i="15"/>
  <c r="I166" i="15" l="1"/>
  <c r="I179" i="15"/>
  <c r="H155" i="15" l="1"/>
  <c r="H156" i="15"/>
  <c r="H157" i="15"/>
  <c r="H158" i="15"/>
  <c r="H159" i="15"/>
  <c r="G77" i="15" l="1"/>
  <c r="I71" i="15" l="1"/>
  <c r="I69" i="15"/>
  <c r="I135" i="15"/>
  <c r="H5" i="15" l="1"/>
  <c r="H176" i="15" l="1"/>
  <c r="H153" i="15"/>
  <c r="H68" i="15" l="1"/>
  <c r="H72" i="15"/>
  <c r="H73" i="15"/>
  <c r="H74" i="15"/>
  <c r="H75" i="15"/>
  <c r="H76" i="15"/>
  <c r="H77" i="15"/>
  <c r="H67" i="15"/>
  <c r="H71" i="15"/>
  <c r="H102" i="15"/>
  <c r="H101" i="15"/>
  <c r="H92" i="15"/>
  <c r="H93" i="15"/>
  <c r="H95" i="15"/>
  <c r="H91" i="15"/>
  <c r="H169" i="15" l="1"/>
  <c r="H170" i="15"/>
  <c r="H171" i="15"/>
  <c r="H172" i="15"/>
  <c r="H173" i="15"/>
  <c r="H174" i="15"/>
  <c r="H168" i="15"/>
  <c r="H162" i="15" l="1"/>
  <c r="H163" i="15"/>
  <c r="H123" i="15" l="1"/>
  <c r="H122" i="15"/>
  <c r="H121" i="15"/>
  <c r="H70" i="15"/>
  <c r="H69" i="15"/>
  <c r="H161" i="15" l="1"/>
  <c r="H165" i="15"/>
  <c r="H164" i="15"/>
  <c r="H166" i="15"/>
  <c r="H87" i="15" l="1"/>
  <c r="H237" i="15" l="1"/>
  <c r="H236" i="15"/>
  <c r="H232" i="15"/>
  <c r="H231" i="15"/>
  <c r="H227" i="15"/>
  <c r="H226" i="15"/>
  <c r="H222" i="15"/>
  <c r="H221" i="15"/>
  <c r="H217" i="15"/>
  <c r="H216" i="15"/>
  <c r="H212" i="15"/>
  <c r="H211" i="15"/>
  <c r="H206" i="15"/>
  <c r="H205" i="15"/>
  <c r="H201" i="15"/>
  <c r="H200" i="15"/>
  <c r="H195" i="15"/>
  <c r="H194" i="15"/>
  <c r="H190" i="15"/>
  <c r="H189" i="15"/>
  <c r="H185" i="15"/>
  <c r="H184" i="15"/>
  <c r="H149" i="15"/>
  <c r="H147" i="15"/>
  <c r="H146" i="15"/>
  <c r="H145" i="15"/>
  <c r="H143" i="15"/>
  <c r="H142" i="15"/>
  <c r="H141" i="15"/>
  <c r="H140" i="15"/>
  <c r="H136" i="15"/>
  <c r="H134" i="15"/>
  <c r="H133" i="15"/>
  <c r="H132" i="15"/>
  <c r="H130" i="15"/>
  <c r="H129" i="15"/>
  <c r="H128" i="15"/>
  <c r="H127" i="15"/>
  <c r="H125" i="15"/>
  <c r="H124" i="15"/>
  <c r="H118" i="15"/>
  <c r="H117" i="15"/>
  <c r="H116" i="15"/>
  <c r="H115" i="15"/>
  <c r="H114" i="15"/>
  <c r="H113" i="15"/>
  <c r="H112" i="15"/>
  <c r="H111" i="15"/>
  <c r="H110" i="15"/>
  <c r="H103" i="15"/>
  <c r="H97" i="15"/>
  <c r="H96" i="15"/>
  <c r="H78" i="15"/>
  <c r="H58" i="15"/>
  <c r="H57" i="15"/>
  <c r="H56" i="15"/>
  <c r="H55" i="15"/>
  <c r="H53" i="15"/>
  <c r="H52" i="15"/>
  <c r="H49" i="15"/>
  <c r="H48" i="15"/>
  <c r="H35" i="15"/>
  <c r="H34" i="15"/>
  <c r="H33" i="15"/>
  <c r="H32" i="15"/>
  <c r="H31" i="15"/>
  <c r="H26" i="15"/>
  <c r="H25" i="15"/>
  <c r="H24" i="15"/>
  <c r="H11" i="15"/>
  <c r="H10" i="15"/>
  <c r="H9" i="15"/>
  <c r="H8" i="15"/>
  <c r="H7" i="15"/>
  <c r="H6" i="15"/>
  <c r="H191" i="15" l="1"/>
  <c r="H213" i="15"/>
  <c r="H233" i="15"/>
  <c r="H186" i="15"/>
  <c r="H228" i="15"/>
  <c r="H223" i="15"/>
  <c r="H218" i="15"/>
  <c r="H238" i="15"/>
  <c r="H207" i="15"/>
  <c r="H196" i="15"/>
  <c r="H202" i="15"/>
  <c r="H152" i="15"/>
  <c r="H135" i="15" l="1"/>
  <c r="G11" i="15" l="1"/>
  <c r="T238" i="15"/>
  <c r="S238" i="15"/>
  <c r="R238" i="15"/>
  <c r="Q238" i="15"/>
  <c r="P238" i="15"/>
  <c r="O238" i="15"/>
  <c r="N238" i="15"/>
  <c r="M238" i="15"/>
  <c r="L238" i="15"/>
  <c r="K238" i="15"/>
  <c r="J238" i="15"/>
  <c r="I238" i="15"/>
  <c r="G237" i="15"/>
  <c r="G236" i="15"/>
  <c r="T233" i="15"/>
  <c r="S233" i="15"/>
  <c r="R233" i="15"/>
  <c r="Q233" i="15"/>
  <c r="P233" i="15"/>
  <c r="O233" i="15"/>
  <c r="N233" i="15"/>
  <c r="M233" i="15"/>
  <c r="L233" i="15"/>
  <c r="K233" i="15"/>
  <c r="J233" i="15"/>
  <c r="I233" i="15"/>
  <c r="G232" i="15"/>
  <c r="G231" i="15"/>
  <c r="T228" i="15"/>
  <c r="S228" i="15"/>
  <c r="R228" i="15"/>
  <c r="Q228" i="15"/>
  <c r="P228" i="15"/>
  <c r="O228" i="15"/>
  <c r="N228" i="15"/>
  <c r="M228" i="15"/>
  <c r="L228" i="15"/>
  <c r="K228" i="15"/>
  <c r="J228" i="15"/>
  <c r="I228" i="15"/>
  <c r="G227" i="15"/>
  <c r="G226" i="15"/>
  <c r="T223" i="15"/>
  <c r="S223" i="15"/>
  <c r="R223" i="15"/>
  <c r="Q223" i="15"/>
  <c r="P223" i="15"/>
  <c r="O223" i="15"/>
  <c r="N223" i="15"/>
  <c r="M223" i="15"/>
  <c r="L223" i="15"/>
  <c r="K223" i="15"/>
  <c r="J223" i="15"/>
  <c r="I223" i="15"/>
  <c r="G222" i="15"/>
  <c r="G221" i="15"/>
  <c r="T218" i="15"/>
  <c r="S218" i="15"/>
  <c r="R218" i="15"/>
  <c r="Q218" i="15"/>
  <c r="P218" i="15"/>
  <c r="O218" i="15"/>
  <c r="N218" i="15"/>
  <c r="M218" i="15"/>
  <c r="L218" i="15"/>
  <c r="K218" i="15"/>
  <c r="J218" i="15"/>
  <c r="I218" i="15"/>
  <c r="G217" i="15"/>
  <c r="G216" i="15"/>
  <c r="T213" i="15"/>
  <c r="S213" i="15"/>
  <c r="R213" i="15"/>
  <c r="Q213" i="15"/>
  <c r="P213" i="15"/>
  <c r="O213" i="15"/>
  <c r="N213" i="15"/>
  <c r="M213" i="15"/>
  <c r="L213" i="15"/>
  <c r="K213" i="15"/>
  <c r="J213" i="15"/>
  <c r="I213" i="15"/>
  <c r="G212" i="15"/>
  <c r="G211" i="15"/>
  <c r="T207" i="15"/>
  <c r="S207" i="15"/>
  <c r="R207" i="15"/>
  <c r="Q207" i="15"/>
  <c r="P207" i="15"/>
  <c r="O207" i="15"/>
  <c r="N207" i="15"/>
  <c r="M207" i="15"/>
  <c r="L207" i="15"/>
  <c r="K207" i="15"/>
  <c r="J207" i="15"/>
  <c r="I207" i="15"/>
  <c r="G206" i="15"/>
  <c r="G205" i="15"/>
  <c r="T202" i="15"/>
  <c r="S202" i="15"/>
  <c r="R202" i="15"/>
  <c r="Q202" i="15"/>
  <c r="P202" i="15"/>
  <c r="O202" i="15"/>
  <c r="N202" i="15"/>
  <c r="M202" i="15"/>
  <c r="L202" i="15"/>
  <c r="K202" i="15"/>
  <c r="J202" i="15"/>
  <c r="I202" i="15"/>
  <c r="G201" i="15"/>
  <c r="G200" i="15"/>
  <c r="T196" i="15"/>
  <c r="S196" i="15"/>
  <c r="R196" i="15"/>
  <c r="Q196" i="15"/>
  <c r="P196" i="15"/>
  <c r="O196" i="15"/>
  <c r="N196" i="15"/>
  <c r="M196" i="15"/>
  <c r="L196" i="15"/>
  <c r="K196" i="15"/>
  <c r="J196" i="15"/>
  <c r="I196" i="15"/>
  <c r="G195" i="15"/>
  <c r="G194" i="15"/>
  <c r="T191" i="15"/>
  <c r="S191" i="15"/>
  <c r="R191" i="15"/>
  <c r="Q191" i="15"/>
  <c r="P191" i="15"/>
  <c r="O191" i="15"/>
  <c r="N191" i="15"/>
  <c r="M191" i="15"/>
  <c r="L191" i="15"/>
  <c r="K191" i="15"/>
  <c r="G190" i="15"/>
  <c r="G189" i="15"/>
  <c r="T186" i="15"/>
  <c r="S186" i="15"/>
  <c r="R186" i="15"/>
  <c r="Q186" i="15"/>
  <c r="P186" i="15"/>
  <c r="O186" i="15"/>
  <c r="N186" i="15"/>
  <c r="M186" i="15"/>
  <c r="L186" i="15"/>
  <c r="K186" i="15"/>
  <c r="J186" i="15"/>
  <c r="I186" i="15"/>
  <c r="G185" i="15"/>
  <c r="G184" i="15"/>
  <c r="G147" i="15"/>
  <c r="G146" i="15"/>
  <c r="G145" i="15"/>
  <c r="G143" i="15"/>
  <c r="G142" i="15"/>
  <c r="G141" i="15"/>
  <c r="G140" i="15"/>
  <c r="G136" i="15"/>
  <c r="G135" i="15"/>
  <c r="G134" i="15"/>
  <c r="G133" i="15"/>
  <c r="G132" i="15"/>
  <c r="G130" i="15"/>
  <c r="G129" i="15"/>
  <c r="G128" i="15"/>
  <c r="G127" i="15"/>
  <c r="G125" i="15"/>
  <c r="G124" i="15"/>
  <c r="G123" i="15"/>
  <c r="G103" i="15"/>
  <c r="G58" i="15"/>
  <c r="G57" i="15"/>
  <c r="G56" i="15"/>
  <c r="G55" i="15"/>
  <c r="G53" i="15"/>
  <c r="G52" i="15"/>
  <c r="G35" i="15"/>
  <c r="G34" i="15"/>
  <c r="G33" i="15"/>
  <c r="G32" i="15"/>
  <c r="G31" i="15"/>
  <c r="G26" i="15"/>
  <c r="G25" i="15"/>
  <c r="G24" i="15"/>
  <c r="G213" i="15" l="1"/>
  <c r="G191" i="15"/>
  <c r="G207" i="15"/>
  <c r="G238" i="15"/>
  <c r="G186" i="15"/>
  <c r="G202" i="15"/>
  <c r="G223" i="15"/>
  <c r="G196" i="15"/>
  <c r="G218" i="15"/>
  <c r="G233" i="15"/>
  <c r="G228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Wisnowski, Brian</author>
    <author>Windows User</author>
  </authors>
  <commentList>
    <comment ref="Q120" authorId="0" shapeId="0" xr:uid="{D422EFC9-F05A-4BFB-AC16-59BEDC2B21DD}">
      <text>
        <r>
          <rPr>
            <b/>
            <sz val="9"/>
            <color indexed="81"/>
            <rFont val="Tahoma"/>
            <family val="2"/>
          </rPr>
          <t>Wisnowski, Brian:</t>
        </r>
        <r>
          <rPr>
            <sz val="9"/>
            <color indexed="81"/>
            <rFont val="Tahoma"/>
            <family val="2"/>
          </rPr>
          <t xml:space="preserve">
Waitlist has ended</t>
        </r>
      </text>
    </comment>
    <comment ref="R120" authorId="0" shapeId="0" xr:uid="{295A9BC5-EC44-4668-9A42-4FE7B67C3666}">
      <text>
        <r>
          <rPr>
            <b/>
            <sz val="9"/>
            <color indexed="81"/>
            <rFont val="Tahoma"/>
            <family val="2"/>
          </rPr>
          <t>Wisnowski, Brian:</t>
        </r>
        <r>
          <rPr>
            <sz val="9"/>
            <color indexed="81"/>
            <rFont val="Tahoma"/>
            <family val="2"/>
          </rPr>
          <t xml:space="preserve">
Waitlist has ended.</t>
        </r>
      </text>
    </comment>
    <comment ref="S120" authorId="0" shapeId="0" xr:uid="{3E3169B2-1078-4856-9B77-A502618E750A}">
      <text>
        <r>
          <rPr>
            <b/>
            <sz val="9"/>
            <color indexed="81"/>
            <rFont val="Tahoma"/>
            <family val="2"/>
          </rPr>
          <t>Wisnowski, Brian:</t>
        </r>
        <r>
          <rPr>
            <sz val="9"/>
            <color indexed="81"/>
            <rFont val="Tahoma"/>
            <family val="2"/>
          </rPr>
          <t xml:space="preserve">
Waitlist has ended.</t>
        </r>
      </text>
    </comment>
    <comment ref="T120" authorId="0" shapeId="0" xr:uid="{A95CCA27-D54F-4771-9B9F-DEFE245FC73C}">
      <text>
        <r>
          <rPr>
            <b/>
            <sz val="9"/>
            <color indexed="81"/>
            <rFont val="Tahoma"/>
            <family val="2"/>
          </rPr>
          <t>Wisnowski, Brian:</t>
        </r>
        <r>
          <rPr>
            <sz val="9"/>
            <color indexed="81"/>
            <rFont val="Tahoma"/>
            <family val="2"/>
          </rPr>
          <t xml:space="preserve">
Waitlist has ended.</t>
        </r>
      </text>
    </comment>
    <comment ref="U120" authorId="0" shapeId="0" xr:uid="{46C5B2F0-37F4-41C9-889D-BB03235507EC}">
      <text>
        <r>
          <rPr>
            <b/>
            <sz val="9"/>
            <color indexed="81"/>
            <rFont val="Tahoma"/>
            <family val="2"/>
          </rPr>
          <t>Wisnowski, Brian:</t>
        </r>
        <r>
          <rPr>
            <sz val="9"/>
            <color indexed="81"/>
            <rFont val="Tahoma"/>
            <family val="2"/>
          </rPr>
          <t xml:space="preserve">
Waitlist has ended.</t>
        </r>
      </text>
    </comment>
    <comment ref="B140" authorId="0" shapeId="0" xr:uid="{6A80E3F5-8576-44DA-8E23-31012710F93F}">
      <text>
        <r>
          <rPr>
            <b/>
            <sz val="9"/>
            <color indexed="81"/>
            <rFont val="Tahoma"/>
            <family val="2"/>
          </rPr>
          <t>Wisnowski, Brian:</t>
        </r>
        <r>
          <rPr>
            <sz val="9"/>
            <color indexed="81"/>
            <rFont val="Tahoma"/>
            <family val="2"/>
          </rPr>
          <t xml:space="preserve">
Add All Cash Assistance incluing BD and Refugee
</t>
        </r>
      </text>
    </comment>
    <comment ref="U143" authorId="1" shapeId="0" xr:uid="{84CF654D-8BC6-4237-9A5E-8148A1B0C01F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Data is unavailable because it is reported a month behind.  SS</t>
        </r>
      </text>
    </comment>
    <comment ref="K160" authorId="0" shapeId="0" xr:uid="{57A9F316-ABCE-42C7-B442-CE4527B24118}">
      <text>
        <r>
          <rPr>
            <b/>
            <sz val="9"/>
            <color indexed="81"/>
            <rFont val="Tahoma"/>
            <family val="2"/>
          </rPr>
          <t>Wisnowski, Brian:</t>
        </r>
        <r>
          <rPr>
            <sz val="9"/>
            <color indexed="81"/>
            <rFont val="Tahoma"/>
            <family val="2"/>
          </rPr>
          <t xml:space="preserve">
Data captured from 8/23-8/31 do to migration of system
</t>
        </r>
      </text>
    </comment>
    <comment ref="T160" authorId="0" shapeId="0" xr:uid="{FA2EF464-83FF-443F-8D6E-595AA4791C6C}">
      <text>
        <r>
          <rPr>
            <b/>
            <sz val="9"/>
            <color indexed="81"/>
            <rFont val="Tahoma"/>
            <family val="2"/>
          </rPr>
          <t>Wisnowski, Brian:</t>
        </r>
        <r>
          <rPr>
            <sz val="9"/>
            <color indexed="81"/>
            <rFont val="Tahoma"/>
            <family val="2"/>
          </rPr>
          <t xml:space="preserve">
Data includes 5/1-5/21… Agency moved to Webex and awaiting report training</t>
        </r>
      </text>
    </comment>
    <comment ref="T164" authorId="0" shapeId="0" xr:uid="{B90F44A4-45BB-474E-9BDA-95D173AC2994}">
      <text>
        <r>
          <rPr>
            <b/>
            <sz val="9"/>
            <color indexed="81"/>
            <rFont val="Tahoma"/>
            <family val="2"/>
          </rPr>
          <t>Wisnowski, Brian:</t>
        </r>
        <r>
          <rPr>
            <sz val="9"/>
            <color indexed="81"/>
            <rFont val="Tahoma"/>
            <family val="2"/>
          </rPr>
          <t xml:space="preserve">
Data updated after board meeting</t>
        </r>
      </text>
    </comment>
    <comment ref="T165" authorId="0" shapeId="0" xr:uid="{825FDC05-5E05-47C5-992A-F5A9C0941B99}">
      <text>
        <r>
          <rPr>
            <b/>
            <sz val="9"/>
            <color indexed="81"/>
            <rFont val="Tahoma"/>
            <family val="2"/>
          </rPr>
          <t>Wisnowski, Brian:</t>
        </r>
        <r>
          <rPr>
            <sz val="9"/>
            <color indexed="81"/>
            <rFont val="Tahoma"/>
            <family val="2"/>
          </rPr>
          <t xml:space="preserve">
Data updated after board meeting</t>
        </r>
      </text>
    </comment>
    <comment ref="M169" authorId="0" shapeId="0" xr:uid="{FBB4E6DA-A774-489D-899C-887798C49E0C}">
      <text>
        <r>
          <rPr>
            <b/>
            <sz val="9"/>
            <color indexed="81"/>
            <rFont val="Tahoma"/>
            <family val="2"/>
          </rPr>
          <t>Wisnowski, Brian:</t>
        </r>
        <r>
          <rPr>
            <sz val="9"/>
            <color indexed="81"/>
            <rFont val="Tahoma"/>
            <family val="2"/>
          </rPr>
          <t xml:space="preserve">
I believe this report has been maxed out on data warehouse, the only thing that changes is the number of duplicates but I think old data is being pushed out as new data is entered because each report has around 150k rows
</t>
        </r>
      </text>
    </comment>
    <comment ref="M183" authorId="0" shapeId="0" xr:uid="{2B23C92B-1108-4E67-9B6B-A6C7AE8A09D8}">
      <text>
        <r>
          <rPr>
            <b/>
            <sz val="9"/>
            <color indexed="81"/>
            <rFont val="Tahoma"/>
            <family val="2"/>
          </rPr>
          <t>Wisnowski, Brian:</t>
        </r>
        <r>
          <rPr>
            <sz val="9"/>
            <color indexed="81"/>
            <rFont val="Tahoma"/>
            <family val="2"/>
          </rPr>
          <t xml:space="preserve">
the state transitioned to a new system on 9/19/25.  North Carolina Online Aging &amp; Adult Services Information System (NC OAASIS).  Therefore, they have not collected the data for the performance measures as we weren't able to input the information until late October with a November 3rd deadline. There is no known timeline for this data</t>
        </r>
      </text>
    </comment>
    <comment ref="M184" authorId="0" shapeId="0" xr:uid="{F457D4E7-1AF9-49D8-B387-4BE7B6119B5A}">
      <text>
        <r>
          <rPr>
            <b/>
            <sz val="9"/>
            <color indexed="81"/>
            <rFont val="Tahoma"/>
            <family val="2"/>
          </rPr>
          <t>Wisnowski, Brian:</t>
        </r>
        <r>
          <rPr>
            <sz val="9"/>
            <color indexed="81"/>
            <rFont val="Tahoma"/>
            <family val="2"/>
          </rPr>
          <t xml:space="preserve">
the state transitioned to a new system on 9/19/25.  North Carolina Online Aging &amp; Adult Services Information System (NC OAASIS).  Therefore, they have not collected the data for the performance measures as we weren't able to input the information until late October with a November 3rd deadline. There is no known timeline for this data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Wisnowski, Brian</author>
    <author>Windows User</author>
  </authors>
  <commentList>
    <comment ref="B143" authorId="0" shapeId="0" xr:uid="{6A5C0ACB-30DE-4BE5-9F60-324A3E5980A9}">
      <text>
        <r>
          <rPr>
            <b/>
            <sz val="9"/>
            <color indexed="81"/>
            <rFont val="Tahoma"/>
            <family val="2"/>
          </rPr>
          <t>Wisnowski, Brian:</t>
        </r>
        <r>
          <rPr>
            <sz val="9"/>
            <color indexed="81"/>
            <rFont val="Tahoma"/>
            <family val="2"/>
          </rPr>
          <t xml:space="preserve">
Add All Cash Assistance incluing BD and Refugee
</t>
        </r>
      </text>
    </comment>
    <comment ref="T146" authorId="1" shapeId="0" xr:uid="{B4C7086B-83E4-4ABB-8838-A57A86204922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Data is unavailable because it is reported a month behind.  SS</t>
        </r>
      </text>
    </comment>
    <comment ref="J164" authorId="0" shapeId="0" xr:uid="{C19320CA-17D7-4D1A-BE0A-354F0A3C4825}">
      <text>
        <r>
          <rPr>
            <b/>
            <sz val="9"/>
            <color indexed="81"/>
            <rFont val="Tahoma"/>
            <family val="2"/>
          </rPr>
          <t>Wisnowski, Brian:</t>
        </r>
        <r>
          <rPr>
            <sz val="9"/>
            <color indexed="81"/>
            <rFont val="Tahoma"/>
            <family val="2"/>
          </rPr>
          <t xml:space="preserve">
Data captured from 8/23-8/31 do to migration of system
</t>
        </r>
      </text>
    </comment>
    <comment ref="S164" authorId="0" shapeId="0" xr:uid="{9C86F83D-8941-4FA1-94F8-C863288A7CCD}">
      <text>
        <r>
          <rPr>
            <b/>
            <sz val="9"/>
            <color indexed="81"/>
            <rFont val="Tahoma"/>
            <family val="2"/>
          </rPr>
          <t>Wisnowski, Brian:</t>
        </r>
        <r>
          <rPr>
            <sz val="9"/>
            <color indexed="81"/>
            <rFont val="Tahoma"/>
            <family val="2"/>
          </rPr>
          <t xml:space="preserve">
Data includes 5/1-5/21… Agency moved to Webex and awaiting report training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  <author>Wisnowski, Brian</author>
  </authors>
  <commentList>
    <comment ref="T144" authorId="0" shapeId="0" xr:uid="{5DEEEB72-A4F5-4014-B0FE-771306D8F34C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Data is unavailable because it is reported a month behind.  SS</t>
        </r>
      </text>
    </comment>
    <comment ref="J161" authorId="1" shapeId="0" xr:uid="{28A40F71-B6E5-46CE-8901-89AE69B69561}">
      <text>
        <r>
          <rPr>
            <b/>
            <sz val="9"/>
            <color indexed="81"/>
            <rFont val="Tahoma"/>
            <family val="2"/>
          </rPr>
          <t>Wisnowski, Brian:</t>
        </r>
        <r>
          <rPr>
            <sz val="9"/>
            <color indexed="81"/>
            <rFont val="Tahoma"/>
            <family val="2"/>
          </rPr>
          <t xml:space="preserve">
Data captured from 8/23-8/31 do to migration of system
</t>
        </r>
      </text>
    </comment>
  </commentList>
</comments>
</file>

<file path=xl/sharedStrings.xml><?xml version="1.0" encoding="utf-8"?>
<sst xmlns="http://schemas.openxmlformats.org/spreadsheetml/2006/main" count="1480" uniqueCount="284">
  <si>
    <t>Total # of Reports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</si>
  <si>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</si>
  <si>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</si>
  <si>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</si>
  <si>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</si>
  <si>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</si>
  <si>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</si>
  <si>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</si>
  <si>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</si>
  <si>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</si>
  <si>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</si>
  <si>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</si>
  <si>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</si>
  <si>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Child Protective Services - Investigative Assessments</t>
  </si>
  <si>
    <t>Child Protective Services - In-Home Services</t>
  </si>
  <si>
    <t>Male</t>
  </si>
  <si>
    <t>Female</t>
  </si>
  <si>
    <t># of Children with TPR</t>
  </si>
  <si>
    <t>Average # of Months in care since TPR</t>
  </si>
  <si>
    <t>Total # added</t>
  </si>
  <si>
    <t>Total # removed</t>
  </si>
  <si>
    <t># of TPRs pending</t>
  </si>
  <si>
    <t># of TPRs Filed</t>
  </si>
  <si>
    <t>Adult Services</t>
  </si>
  <si>
    <t>Adult Protective Services (APS)</t>
  </si>
  <si>
    <t>Adult Guardian Services</t>
  </si>
  <si>
    <t>Adult In-Home Aide Services</t>
  </si>
  <si>
    <t>Crisis Services</t>
  </si>
  <si>
    <t>Child Care</t>
  </si>
  <si>
    <t>Work First Family Assistance</t>
  </si>
  <si>
    <t>Work First</t>
  </si>
  <si>
    <t>Work First Employment Services</t>
  </si>
  <si>
    <t>Program Integrity</t>
  </si>
  <si>
    <t>Customer Information Center</t>
  </si>
  <si>
    <t>Reception at 414 East Main</t>
  </si>
  <si>
    <t>Reunifications</t>
  </si>
  <si>
    <t>Guardianship</t>
  </si>
  <si>
    <t>Adoption</t>
  </si>
  <si>
    <t>CURRENT</t>
  </si>
  <si>
    <t>Data Not Available</t>
  </si>
  <si>
    <t>Custody</t>
  </si>
  <si>
    <t>N/A</t>
  </si>
  <si>
    <t>Group Care Monitoring Services (GCMS)</t>
  </si>
  <si>
    <t>Total # Receiving Adult Day Care Services</t>
  </si>
  <si>
    <t>Total # Receiving Adult Day Health Services</t>
  </si>
  <si>
    <t>Child Protective Services</t>
  </si>
  <si>
    <t>Foster Care (Children)</t>
  </si>
  <si>
    <t>Adoptions (Children)</t>
  </si>
  <si>
    <t>Total # of FTEs</t>
  </si>
  <si>
    <t>Total # of Cases</t>
  </si>
  <si>
    <t>State Standard</t>
  </si>
  <si>
    <t>Durham County</t>
  </si>
  <si>
    <t>Intake (Reports)</t>
  </si>
  <si>
    <t>In-Home Services (Cases/Families)</t>
  </si>
  <si>
    <t>Child Placement and Permanency Services</t>
  </si>
  <si>
    <t>100 : 1</t>
  </si>
  <si>
    <t>10 : 1</t>
  </si>
  <si>
    <t>15 : 1</t>
  </si>
  <si>
    <t>25 : 1</t>
  </si>
  <si>
    <t>30 : 1</t>
  </si>
  <si>
    <t>40 : 1</t>
  </si>
  <si>
    <t>Investigations and Assessments (Cases/Families)</t>
  </si>
  <si>
    <t>Other</t>
  </si>
  <si>
    <t>CASELOAD ANALYSIS - # of Cases per FTE</t>
  </si>
  <si>
    <t>Community Alternative Placement (CAP)</t>
  </si>
  <si>
    <t>Special Assistance (SA) In-Home Services</t>
  </si>
  <si>
    <t>Home Centered Care (HCC)</t>
  </si>
  <si>
    <t>6</t>
  </si>
  <si>
    <t>35 : 1</t>
  </si>
  <si>
    <t>14 : 1</t>
  </si>
  <si>
    <t>265</t>
  </si>
  <si>
    <t xml:space="preserve">3 </t>
  </si>
  <si>
    <t>88 : 1</t>
  </si>
  <si>
    <t>191</t>
  </si>
  <si>
    <t>10</t>
  </si>
  <si>
    <t>19 : 1</t>
  </si>
  <si>
    <t>100</t>
  </si>
  <si>
    <t>12</t>
  </si>
  <si>
    <t>8 : 1</t>
  </si>
  <si>
    <t>209</t>
  </si>
  <si>
    <t>16</t>
  </si>
  <si>
    <t>13 : 1</t>
  </si>
  <si>
    <t>32</t>
  </si>
  <si>
    <t>4</t>
  </si>
  <si>
    <t xml:space="preserve">68 </t>
  </si>
  <si>
    <t>11 : 1</t>
  </si>
  <si>
    <t>76</t>
  </si>
  <si>
    <t>3</t>
  </si>
  <si>
    <t>421</t>
  </si>
  <si>
    <t>42 : 1</t>
  </si>
  <si>
    <t>129</t>
  </si>
  <si>
    <t>5</t>
  </si>
  <si>
    <t>27 : 1</t>
  </si>
  <si>
    <t>53</t>
  </si>
  <si>
    <t>135</t>
  </si>
  <si>
    <t>Foster Care Costs</t>
  </si>
  <si>
    <t>Clothing</t>
  </si>
  <si>
    <t>Educational</t>
  </si>
  <si>
    <t>Misc</t>
  </si>
  <si>
    <t>Previous</t>
  </si>
  <si>
    <t>Number of reports investigated</t>
  </si>
  <si>
    <t>Family Safety And Permanency Division</t>
  </si>
  <si>
    <t>Family Economic And Independence Division</t>
  </si>
  <si>
    <t>Customer Accountability And Program Development Division</t>
  </si>
  <si>
    <t>Child Support Services</t>
  </si>
  <si>
    <t>Client Totals</t>
  </si>
  <si>
    <t>Total number of ongoing APS cases</t>
  </si>
  <si>
    <t>Total number added</t>
  </si>
  <si>
    <t>Total number removed</t>
  </si>
  <si>
    <t>Total number of hours of service provided</t>
  </si>
  <si>
    <t>Total amount of child support dollars collected</t>
  </si>
  <si>
    <t>Number of investigative assessments initiated within 24 hours</t>
  </si>
  <si>
    <t>Number of family assessments initiated within 72 hours</t>
  </si>
  <si>
    <t>Number of children in DSS custody</t>
  </si>
  <si>
    <t>Number in custody from 0 - 12 months</t>
  </si>
  <si>
    <t>Number in custody from 13 - 24 months</t>
  </si>
  <si>
    <t>Number in custody 25+ months</t>
  </si>
  <si>
    <t>Other (not previously reported, death, transfer)</t>
  </si>
  <si>
    <t>Total number of reports</t>
  </si>
  <si>
    <t>Total number of CPS hotline calls</t>
  </si>
  <si>
    <t>Total number of investigative assessments</t>
  </si>
  <si>
    <t>Total number of family assessments</t>
  </si>
  <si>
    <t>Number of voluntary placement agreements (18-21 year olds)</t>
  </si>
  <si>
    <t>Number of new placements</t>
  </si>
  <si>
    <t>Number of exits from foster care</t>
  </si>
  <si>
    <t>Aged out/Emancipation</t>
  </si>
  <si>
    <t>Number of adoptions by relatives</t>
  </si>
  <si>
    <t>Child Placement And Permanency Services - Adoptions / Termination of Parental Rights (TPR)</t>
  </si>
  <si>
    <t>Child Placement And Permanency Services - Foster Care</t>
  </si>
  <si>
    <t>Number of adoptions by non-relatives</t>
  </si>
  <si>
    <t>Total number of licensed foster homes</t>
  </si>
  <si>
    <t>Total number added that were newly licensed</t>
  </si>
  <si>
    <t>Total number that were removed or terminated</t>
  </si>
  <si>
    <t>Number of available homes for new placement</t>
  </si>
  <si>
    <t>Room and board</t>
  </si>
  <si>
    <t>Personal needs</t>
  </si>
  <si>
    <t>Respite care</t>
  </si>
  <si>
    <t>Medical needs</t>
  </si>
  <si>
    <t>Emergency payment</t>
  </si>
  <si>
    <t xml:space="preserve">Total foster care costs </t>
  </si>
  <si>
    <t>County cost for undocumented youth (subset of all FC costs)</t>
  </si>
  <si>
    <t>Number of new APS reports evaluated</t>
  </si>
  <si>
    <t>Number of evaluated cases that were offered ongoing services</t>
  </si>
  <si>
    <t>Number of new cases added</t>
  </si>
  <si>
    <t xml:space="preserve">Number of cases removed </t>
  </si>
  <si>
    <t>Total number of adults receiving special assistance (SA) in-home aide services</t>
  </si>
  <si>
    <t>Total number of special assistance (SA) in-home cases</t>
  </si>
  <si>
    <t>HCCBG (Home And Community Block Grant) - Total number of individuals served</t>
  </si>
  <si>
    <t>County (Non HCCBG) - Total number of individuals served</t>
  </si>
  <si>
    <t>Total number of individuals on meals on wheels waiting list</t>
  </si>
  <si>
    <t>Total number of families served</t>
  </si>
  <si>
    <t>Number of families served with utility assistance</t>
  </si>
  <si>
    <t>Number of families served with medical assistance</t>
  </si>
  <si>
    <t>Number of families served with food assistance</t>
  </si>
  <si>
    <t>Number of families served with shelter assistance</t>
  </si>
  <si>
    <t>Number of families served with water assistance</t>
  </si>
  <si>
    <t>Number of families served with burial assistance</t>
  </si>
  <si>
    <t>Number of families served with other types of assistance</t>
  </si>
  <si>
    <t>Number of families assisted thru opening doors</t>
  </si>
  <si>
    <t>Number of title IV-E children served (duplicated total)</t>
  </si>
  <si>
    <t>Number of homeless children served (duplicated total)</t>
  </si>
  <si>
    <t>Total number of children on the waiting list</t>
  </si>
  <si>
    <t>Total number of food and nutrition services recipients</t>
  </si>
  <si>
    <t>Total number of able bodied adults with out dependents (ABAWDS)</t>
  </si>
  <si>
    <t>Total amount of food and nutrition services dollars spent</t>
  </si>
  <si>
    <t>Food And Nutrition Services</t>
  </si>
  <si>
    <t>Total number of health choice recipients</t>
  </si>
  <si>
    <t>Total number of special assistance (SA) recipients</t>
  </si>
  <si>
    <t>Total amount of special assistance (SA) dollars spent</t>
  </si>
  <si>
    <t>Number of child only cases</t>
  </si>
  <si>
    <t>Number of adult included cases</t>
  </si>
  <si>
    <t>Total dollar amount of cash assistance payments</t>
  </si>
  <si>
    <t>Total number who received employment services</t>
  </si>
  <si>
    <t>Total remaining off work first for employment (12 months after leaving work first)</t>
  </si>
  <si>
    <t>Participation rate (all families)</t>
  </si>
  <si>
    <t>Number employed during the month</t>
  </si>
  <si>
    <t>Number of Benefit diversion cases</t>
  </si>
  <si>
    <t>Total dollar amount collected</t>
  </si>
  <si>
    <t>Dollar amount collected for work first family assistance</t>
  </si>
  <si>
    <t>Dollar amount collected for food and nutrition services</t>
  </si>
  <si>
    <t>Dollar amount collected for family and children's medicaid</t>
  </si>
  <si>
    <t>Dollar amount collected for special assistance medicaid</t>
  </si>
  <si>
    <t>Dollar amount collected for child care</t>
  </si>
  <si>
    <t>Dollar amount collected for low Income energy assistance</t>
  </si>
  <si>
    <t>Total number of visits thru reception</t>
  </si>
  <si>
    <t>Total number of call center calls (ext. 8000)</t>
  </si>
  <si>
    <t>Total number of calls handled</t>
  </si>
  <si>
    <t>Average % of calls handled</t>
  </si>
  <si>
    <t>Staff Training And Retention</t>
  </si>
  <si>
    <t>Number of employees participating in mandatory training classes</t>
  </si>
  <si>
    <t>Number of employees participating in technology training</t>
  </si>
  <si>
    <t>Number of employees participating in other training</t>
  </si>
  <si>
    <t>Total number of DSS clients serviced (unduplicated count)</t>
  </si>
  <si>
    <t>Number of adults for whom DSS is guardian</t>
  </si>
  <si>
    <t>Durham eligibles as a percent of Durham's population (Census.gov Population Jul 2017 estimate 311,640)</t>
  </si>
  <si>
    <t>Reception at 1201 South Briggs Avenue (childcare)</t>
  </si>
  <si>
    <t>Total number of children</t>
  </si>
  <si>
    <t>Total number of families</t>
  </si>
  <si>
    <t>Total number of families with court involved</t>
  </si>
  <si>
    <t>Number with court ordered protection plan (COPP)</t>
  </si>
  <si>
    <t>Number with kinship placement</t>
  </si>
  <si>
    <t>Total number of children remaining at home</t>
  </si>
  <si>
    <t>Total number of children put in custody moved from in-home to foster care</t>
  </si>
  <si>
    <t>Child Placement And Permanency Services - MAPP And Foster Home Licensing</t>
  </si>
  <si>
    <t>Meal On Wheels (MOW)</t>
  </si>
  <si>
    <t>AVG</t>
  </si>
  <si>
    <t>Medicaid</t>
  </si>
  <si>
    <t>Total number of Medicaid recipients (Family &amp; Adult)</t>
  </si>
  <si>
    <t>Total amount of Medicaid dollars spent</t>
  </si>
  <si>
    <t>Date Added</t>
  </si>
  <si>
    <t>Total number of food and nutrition services cases</t>
  </si>
  <si>
    <t>W/n 7-10 business days after the 1st</t>
  </si>
  <si>
    <t>W/n 9-10 business days after the 1st</t>
  </si>
  <si>
    <t>Recoupment</t>
  </si>
  <si>
    <t>Total number of work first cases</t>
  </si>
  <si>
    <t>Race- Black</t>
  </si>
  <si>
    <t>Race- White</t>
  </si>
  <si>
    <t>Race- Other</t>
  </si>
  <si>
    <t>Race- Hispanic</t>
  </si>
  <si>
    <t>Covid</t>
  </si>
  <si>
    <t>FY 21</t>
  </si>
  <si>
    <t>Average % of Durham County's population who receive(d) services from DSS (Census.gov July 2018 estimate)</t>
  </si>
  <si>
    <t>N/a</t>
  </si>
  <si>
    <t>Number of share your christmas household members sponsored (total)</t>
  </si>
  <si>
    <t>Number of share your thanksgiving referrals (total)</t>
  </si>
  <si>
    <t>Number of share your thanksgiving household members sponsored (total)</t>
  </si>
  <si>
    <t>Number of share your christmas referrals (total)</t>
  </si>
  <si>
    <t>FY 22</t>
  </si>
  <si>
    <t>Number of book bag referrals (running total)</t>
  </si>
  <si>
    <t>Number of book bag children served (running total)</t>
  </si>
  <si>
    <t>FY 23</t>
  </si>
  <si>
    <t>Number of home adoptive studies completed</t>
  </si>
  <si>
    <t>FY 24</t>
  </si>
  <si>
    <t>Bookbags and Holidays</t>
  </si>
  <si>
    <t xml:space="preserve">Total number of employees participating in training </t>
  </si>
  <si>
    <t>month behind</t>
  </si>
  <si>
    <t xml:space="preserve">Number of employees participating in interpersonal skills classes </t>
  </si>
  <si>
    <t xml:space="preserve">Number of Employees completing program training </t>
  </si>
  <si>
    <t>Number of employees participating mandatory PROGRAM training</t>
  </si>
  <si>
    <t>FY 25</t>
  </si>
  <si>
    <t>Durham eligibles as a percent of Durham's population (Census.gov Population Jul 2022 estimate 326,126)</t>
  </si>
  <si>
    <t>Number of new APS Intakes accepted for evaluation</t>
  </si>
  <si>
    <r>
      <t>Staff Training And Retention</t>
    </r>
    <r>
      <rPr>
        <b/>
        <sz val="11"/>
        <color rgb="FFFF0000"/>
        <rFont val="Arial"/>
        <family val="2"/>
      </rPr>
      <t xml:space="preserve"> (month behind)</t>
    </r>
  </si>
  <si>
    <t>Average % of Durham County's population who receive(d) services from DSS (Census.gov July 2022 estimate)</t>
  </si>
  <si>
    <t xml:space="preserve">Total dollar amount of cash assistance payments </t>
  </si>
  <si>
    <t>Dollar amount collected for work first Crops</t>
  </si>
  <si>
    <t>Monthly Foster Care Home Visits</t>
  </si>
  <si>
    <r>
      <t xml:space="preserve">95% of all foster youth have </t>
    </r>
    <r>
      <rPr>
        <b/>
        <sz val="10"/>
        <rFont val="Arial"/>
        <family val="2"/>
      </rPr>
      <t>ONE</t>
    </r>
    <r>
      <rPr>
        <sz val="10"/>
        <rFont val="Arial"/>
        <family val="2"/>
      </rPr>
      <t xml:space="preserve"> face-to-face visit with the social worker each month. </t>
    </r>
  </si>
  <si>
    <r>
      <t xml:space="preserve">Percentage of </t>
    </r>
    <r>
      <rPr>
        <sz val="12"/>
        <color theme="1"/>
        <rFont val="Aptos"/>
        <family val="2"/>
      </rPr>
      <t xml:space="preserve">children in foster care for a full month who had a </t>
    </r>
    <r>
      <rPr>
        <b/>
        <sz val="12"/>
        <color rgb="FFFF0000"/>
        <rFont val="Aptos"/>
        <family val="2"/>
      </rPr>
      <t>visit in the home</t>
    </r>
  </si>
  <si>
    <t>Number of book bag accepted (running total)</t>
  </si>
  <si>
    <t>Number of share your thanksgiving accepted (total)</t>
  </si>
  <si>
    <t>Number of share your christmas accepted (total)</t>
  </si>
  <si>
    <t>We are actively accepting applications</t>
  </si>
  <si>
    <t xml:space="preserve"> </t>
  </si>
  <si>
    <t>CS4: Percentage of cases received a payment toward arrears.</t>
  </si>
  <si>
    <t>CS3: Percentage of current child support paid.</t>
  </si>
  <si>
    <t>CS2: Percentage of child support cases that have a court order establishing support obligations.</t>
  </si>
  <si>
    <t>CS1: Percentage of paternities established or acknowledged for children born out of wedlock.</t>
  </si>
  <si>
    <t>AS4: The county will process 85% of Special Assistance for the Disabled (SAD) applications within 60 calendar days of the application date.</t>
  </si>
  <si>
    <t>AS3: The county will process 85% of Special Assistance for the Aged (SAA) applications within 45 calendar days of the application date.</t>
  </si>
  <si>
    <t>Special Assistance (SA)</t>
  </si>
  <si>
    <t>AS2: The county will complete 85% of APS evaluations involving allegations of exploitation within 45 days of the report.</t>
  </si>
  <si>
    <t>AS1: The county will complete 85% of APS evaluations involving allegations of abuse or neglect within 30 days of the report.</t>
  </si>
  <si>
    <r>
      <t xml:space="preserve">FNS3: The county will ensure that 95% of FNS </t>
    </r>
    <r>
      <rPr>
        <b/>
        <sz val="10"/>
        <color theme="1"/>
        <rFont val="Arial"/>
        <family val="2"/>
      </rPr>
      <t>recertifications</t>
    </r>
    <r>
      <rPr>
        <sz val="10"/>
        <color theme="1"/>
        <rFont val="Arial"/>
        <family val="2"/>
      </rPr>
      <t xml:space="preserve"> are processed on time, each month.</t>
    </r>
  </si>
  <si>
    <r>
      <t xml:space="preserve">FNS2: The county will process 95% of </t>
    </r>
    <r>
      <rPr>
        <b/>
        <sz val="10"/>
        <color theme="1"/>
        <rFont val="Arial"/>
        <family val="2"/>
      </rPr>
      <t>regular</t>
    </r>
    <r>
      <rPr>
        <sz val="10"/>
        <color theme="1"/>
        <rFont val="Arial"/>
        <family val="2"/>
      </rPr>
      <t xml:space="preserve"> FNS applications within the timeframe that allows the household to have access to the FNS benefits on or before the 30th calendar day from the date of application.</t>
    </r>
  </si>
  <si>
    <r>
      <t xml:space="preserve">FNS1: The county will process 95% of </t>
    </r>
    <r>
      <rPr>
        <b/>
        <sz val="10"/>
        <color theme="1"/>
        <rFont val="Arial"/>
        <family val="2"/>
      </rPr>
      <t>expedited</t>
    </r>
    <r>
      <rPr>
        <sz val="10"/>
        <color theme="1"/>
        <rFont val="Arial"/>
        <family val="2"/>
      </rPr>
      <t xml:space="preserve"> FNS applications within the timeframe that allows the household to have access to the FNS benefits on or before the 7th calendar day from the date of application.</t>
    </r>
  </si>
  <si>
    <t>Food and Nutrition Services (FNS)</t>
  </si>
  <si>
    <t>WF4: The county will process 95% of Work First recertifications within 60 calendar days prior to the last day of the current certification period.</t>
  </si>
  <si>
    <t>WF3: The county will process 95% of Work First applications within 45 days of receipt.</t>
  </si>
  <si>
    <t>EP2: The county will process 95% of Crisis Intervention Program (CIP) applications, that have heat or cooling source with a past due or final notice, within two (2) business days from the date of application or date all verification is received, whichever comes first.</t>
  </si>
  <si>
    <t>EP1: The county will process 95% of Crisis Intervention Program (CIP) applications, with no heat or cooling source, within one (1) business day from the date of application or date all verification is received, whichever comes first.</t>
  </si>
  <si>
    <t>Energy Programs</t>
  </si>
  <si>
    <t>HB 630 Measures</t>
  </si>
  <si>
    <t>HCCBG (Home And Community Block Grant) - HDM</t>
  </si>
  <si>
    <t>HCCBG (Home And Community Block Grant) - IHA</t>
  </si>
  <si>
    <t>Home Center Care</t>
  </si>
  <si>
    <t># of closed 204 cases</t>
  </si>
  <si>
    <t># of new ongoing 204 cases</t>
  </si>
  <si>
    <t># of new 204 cases received</t>
  </si>
  <si>
    <t>Child Placement And Permanency Services - NTDC And Foster Home Licensing</t>
  </si>
  <si>
    <t># of children in In-Home Services</t>
  </si>
  <si>
    <t># of open cases for CPS In-Home Services</t>
  </si>
  <si>
    <t>CPS In-Home Services</t>
  </si>
  <si>
    <t>FY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</si>
</sst>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0.0%"/>
    <numFmt numFmtId="167" formatCode="_(* #,##0_);_(* \(#,##0\);_(* &quot;-&quot;??_);_(@_)"/>
    <numFmt numFmtId="169" formatCode="\$#,##0.00;&quot;($&quot;#,##0.00\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0"/>
      <color theme="1" tint="0.499984740745262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12"/>
      <color rgb="FF222222"/>
      <name val="Arial"/>
      <family val="2"/>
    </font>
    <font>
      <sz val="11"/>
      <color theme="1"/>
      <name val="Calibri"/>
      <family val="2"/>
    </font>
    <font>
      <sz val="11"/>
      <name val="Arial"/>
      <family val="2"/>
    </font>
    <font>
      <sz val="12"/>
      <color theme="1"/>
      <name val="Cavolini"/>
      <family val="4"/>
    </font>
    <font>
      <sz val="9"/>
      <color rgb="FF333333"/>
      <name val="Tahoma"/>
      <family val="2"/>
    </font>
    <font>
      <b/>
      <sz val="11"/>
      <color rgb="FFFF0000"/>
      <name val="Arial"/>
      <family val="2"/>
    </font>
    <font>
      <sz val="12"/>
      <color rgb="FF000000"/>
      <name val="Aptos"/>
      <family val="2"/>
    </font>
    <font>
      <sz val="12"/>
      <color theme="1"/>
      <name val="Aptos"/>
      <family val="2"/>
    </font>
    <font>
      <b/>
      <sz val="12"/>
      <color rgb="FFFF0000"/>
      <name val="Aptos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9"/>
      <color rgb="FF333333"/>
      <name val="Tahoma"/>
      <family val="2"/>
    </font>
    <font>
      <sz val="12"/>
      <color rgb="FF000000"/>
      <name val="Aptos Narrow"/>
      <family val="2"/>
    </font>
    <font>
      <sz val="10"/>
      <color rgb="FF000000"/>
      <name val="Arial"/>
      <family val="2"/>
    </font>
    <font>
      <b/>
      <sz val="10"/>
      <color theme="9" tint="-0.249977111117893"/>
      <name val="Arial"/>
      <family val="2"/>
    </font>
    <font>
      <b/>
      <sz val="10"/>
      <color theme="0"/>
      <name val="Arial"/>
      <family val="2"/>
    </font>
    <font>
      <b/>
      <sz val="10"/>
      <color theme="1" tint="4.9989318521683403E-2"/>
      <name val="Arial"/>
      <family val="2"/>
    </font>
    <font>
      <b/>
      <sz val="10"/>
      <color theme="1" tint="0.34998626667073579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FBF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000000"/>
      </patternFill>
    </fill>
  </fills>
  <borders count="10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ck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ash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dashed">
        <color indexed="64"/>
      </bottom>
      <diagonal/>
    </border>
    <border>
      <left/>
      <right style="thick">
        <color indexed="64"/>
      </right>
      <top style="dashed">
        <color indexed="64"/>
      </top>
      <bottom style="dashed">
        <color indexed="64"/>
      </bottom>
      <diagonal/>
    </border>
    <border>
      <left/>
      <right style="thick">
        <color indexed="64"/>
      </right>
      <top style="dashed">
        <color indexed="64"/>
      </top>
      <bottom/>
      <diagonal/>
    </border>
    <border>
      <left/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otted">
        <color indexed="64"/>
      </right>
      <top/>
      <bottom style="dotted">
        <color indexed="64"/>
      </bottom>
      <diagonal/>
    </border>
    <border>
      <left style="dash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/>
      <top style="hair">
        <color auto="1"/>
      </top>
      <bottom/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ash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/>
      <bottom style="dotted">
        <color indexed="64"/>
      </bottom>
      <diagonal/>
    </border>
    <border>
      <left style="dotted">
        <color indexed="64"/>
      </left>
      <right style="thick">
        <color indexed="64"/>
      </right>
      <top/>
      <bottom/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ashed">
        <color indexed="64"/>
      </right>
      <top style="dotted">
        <color indexed="64"/>
      </top>
      <bottom style="thin">
        <color indexed="64"/>
      </bottom>
      <diagonal/>
    </border>
    <border>
      <left style="dashed">
        <color indexed="64"/>
      </left>
      <right/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40">
    <xf numFmtId="0" fontId="0" fillId="0" borderId="0" xfId="0"/>
    <xf numFmtId="0" fontId="5" fillId="7" borderId="1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right" vertical="center" wrapText="1"/>
    </xf>
    <xf numFmtId="0" fontId="7" fillId="8" borderId="38" xfId="0" applyFont="1" applyFill="1" applyBorder="1" applyAlignment="1">
      <alignment horizontal="right" vertical="center" wrapText="1"/>
    </xf>
    <xf numFmtId="0" fontId="6" fillId="0" borderId="77" xfId="0" applyFont="1" applyBorder="1" applyAlignment="1">
      <alignment horizontal="right" vertical="center" wrapText="1"/>
    </xf>
    <xf numFmtId="0" fontId="6" fillId="0" borderId="42" xfId="0" applyFont="1" applyBorder="1" applyAlignment="1">
      <alignment horizontal="left" vertical="center"/>
    </xf>
    <xf numFmtId="3" fontId="7" fillId="7" borderId="37" xfId="0" applyNumberFormat="1" applyFont="1" applyFill="1" applyBorder="1" applyAlignment="1">
      <alignment horizontal="right" vertical="center"/>
    </xf>
    <xf numFmtId="0" fontId="6" fillId="0" borderId="26" xfId="0" applyFont="1" applyBorder="1" applyAlignment="1">
      <alignment horizontal="right" vertical="center"/>
    </xf>
    <xf numFmtId="0" fontId="6" fillId="0" borderId="27" xfId="0" applyFont="1" applyBorder="1" applyAlignment="1">
      <alignment horizontal="right" vertical="center"/>
    </xf>
    <xf numFmtId="0" fontId="6" fillId="0" borderId="28" xfId="0" applyFont="1" applyBorder="1" applyAlignment="1">
      <alignment horizontal="right" vertical="center"/>
    </xf>
    <xf numFmtId="0" fontId="6" fillId="0" borderId="39" xfId="0" applyFont="1" applyBorder="1" applyAlignment="1">
      <alignment horizontal="left" vertical="center"/>
    </xf>
    <xf numFmtId="3" fontId="7" fillId="7" borderId="35" xfId="0" applyNumberFormat="1" applyFont="1" applyFill="1" applyBorder="1" applyAlignment="1">
      <alignment horizontal="right" vertical="center"/>
    </xf>
    <xf numFmtId="0" fontId="6" fillId="0" borderId="8" xfId="0" applyFont="1" applyBorder="1" applyAlignment="1" applyProtection="1">
      <alignment vertical="center"/>
      <protection locked="0"/>
    </xf>
    <xf numFmtId="0" fontId="7" fillId="7" borderId="32" xfId="0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15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0" fontId="6" fillId="0" borderId="40" xfId="0" applyFont="1" applyBorder="1" applyAlignment="1">
      <alignment horizontal="left" vertical="center"/>
    </xf>
    <xf numFmtId="3" fontId="7" fillId="7" borderId="32" xfId="0" applyNumberFormat="1" applyFont="1" applyFill="1" applyBorder="1" applyAlignment="1">
      <alignment horizontal="right" vertical="center"/>
    </xf>
    <xf numFmtId="0" fontId="6" fillId="0" borderId="23" xfId="0" applyFont="1" applyBorder="1" applyAlignment="1">
      <alignment horizontal="right" vertical="center"/>
    </xf>
    <xf numFmtId="0" fontId="6" fillId="0" borderId="24" xfId="0" applyFont="1" applyBorder="1" applyAlignment="1">
      <alignment horizontal="right" vertical="center"/>
    </xf>
    <xf numFmtId="0" fontId="6" fillId="0" borderId="25" xfId="0" applyFont="1" applyBorder="1" applyAlignment="1">
      <alignment horizontal="right" vertical="center"/>
    </xf>
    <xf numFmtId="0" fontId="8" fillId="0" borderId="28" xfId="0" applyFont="1" applyBorder="1" applyAlignment="1">
      <alignment horizontal="right" vertical="center"/>
    </xf>
    <xf numFmtId="0" fontId="6" fillId="0" borderId="40" xfId="0" applyFont="1" applyBorder="1" applyAlignment="1">
      <alignment horizontal="left" vertical="center" wrapText="1"/>
    </xf>
    <xf numFmtId="0" fontId="7" fillId="7" borderId="37" xfId="0" applyFont="1" applyFill="1" applyBorder="1" applyAlignment="1">
      <alignment horizontal="right" vertical="center"/>
    </xf>
    <xf numFmtId="0" fontId="7" fillId="7" borderId="35" xfId="0" applyFont="1" applyFill="1" applyBorder="1" applyAlignment="1">
      <alignment horizontal="right" vertical="center"/>
    </xf>
    <xf numFmtId="0" fontId="6" fillId="0" borderId="27" xfId="0" applyFont="1" applyBorder="1" applyAlignment="1">
      <alignment horizontal="right" vertical="center" wrapText="1"/>
    </xf>
    <xf numFmtId="0" fontId="6" fillId="0" borderId="28" xfId="0" applyFont="1" applyBorder="1" applyAlignment="1">
      <alignment horizontal="right" vertical="center" wrapText="1"/>
    </xf>
    <xf numFmtId="0" fontId="6" fillId="0" borderId="24" xfId="0" applyFont="1" applyBorder="1" applyAlignment="1">
      <alignment horizontal="right" vertical="center" wrapText="1"/>
    </xf>
    <xf numFmtId="0" fontId="6" fillId="0" borderId="40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6" fillId="0" borderId="42" xfId="0" applyFont="1" applyBorder="1" applyAlignment="1">
      <alignment vertical="center"/>
    </xf>
    <xf numFmtId="3" fontId="6" fillId="0" borderId="26" xfId="0" applyNumberFormat="1" applyFont="1" applyBorder="1" applyAlignment="1">
      <alignment horizontal="right" vertical="center"/>
    </xf>
    <xf numFmtId="3" fontId="6" fillId="0" borderId="27" xfId="0" applyNumberFormat="1" applyFont="1" applyBorder="1" applyAlignment="1">
      <alignment horizontal="right" vertical="center"/>
    </xf>
    <xf numFmtId="3" fontId="6" fillId="0" borderId="17" xfId="0" applyNumberFormat="1" applyFont="1" applyBorder="1" applyAlignment="1">
      <alignment horizontal="right" vertical="center"/>
    </xf>
    <xf numFmtId="3" fontId="6" fillId="0" borderId="15" xfId="0" applyNumberFormat="1" applyFont="1" applyBorder="1" applyAlignment="1">
      <alignment horizontal="right" vertical="center"/>
    </xf>
    <xf numFmtId="3" fontId="6" fillId="0" borderId="16" xfId="0" applyNumberFormat="1" applyFont="1" applyBorder="1" applyAlignment="1">
      <alignment horizontal="right" vertical="center"/>
    </xf>
    <xf numFmtId="3" fontId="7" fillId="7" borderId="22" xfId="0" applyNumberFormat="1" applyFont="1" applyFill="1" applyBorder="1" applyAlignment="1">
      <alignment horizontal="right" vertical="center"/>
    </xf>
    <xf numFmtId="164" fontId="7" fillId="11" borderId="37" xfId="0" applyNumberFormat="1" applyFont="1" applyFill="1" applyBorder="1" applyAlignment="1">
      <alignment horizontal="right" vertical="center"/>
    </xf>
    <xf numFmtId="164" fontId="6" fillId="0" borderId="26" xfId="0" applyNumberFormat="1" applyFont="1" applyBorder="1" applyAlignment="1">
      <alignment horizontal="right" vertical="center"/>
    </xf>
    <xf numFmtId="164" fontId="6" fillId="0" borderId="24" xfId="0" applyNumberFormat="1" applyFont="1" applyBorder="1" applyAlignment="1">
      <alignment horizontal="right" vertical="center"/>
    </xf>
    <xf numFmtId="164" fontId="6" fillId="0" borderId="80" xfId="0" applyNumberFormat="1" applyFont="1" applyBorder="1" applyAlignment="1">
      <alignment horizontal="right" vertical="center" wrapText="1"/>
    </xf>
    <xf numFmtId="0" fontId="6" fillId="0" borderId="79" xfId="0" applyFont="1" applyBorder="1" applyAlignment="1">
      <alignment vertical="center"/>
    </xf>
    <xf numFmtId="3" fontId="6" fillId="0" borderId="24" xfId="0" applyNumberFormat="1" applyFont="1" applyBorder="1" applyAlignment="1">
      <alignment horizontal="right" vertical="center" wrapText="1"/>
    </xf>
    <xf numFmtId="0" fontId="6" fillId="0" borderId="64" xfId="0" applyFont="1" applyBorder="1" applyAlignment="1">
      <alignment horizontal="right" vertical="center" wrapText="1"/>
    </xf>
    <xf numFmtId="0" fontId="8" fillId="0" borderId="27" xfId="0" applyFont="1" applyBorder="1" applyAlignment="1">
      <alignment horizontal="right" vertical="center"/>
    </xf>
    <xf numFmtId="0" fontId="6" fillId="0" borderId="42" xfId="0" applyFont="1" applyBorder="1" applyAlignment="1">
      <alignment horizontal="left" vertical="center" wrapText="1"/>
    </xf>
    <xf numFmtId="3" fontId="6" fillId="0" borderId="49" xfId="0" applyNumberFormat="1" applyFont="1" applyBorder="1" applyAlignment="1">
      <alignment horizontal="right" vertical="center" wrapText="1"/>
    </xf>
    <xf numFmtId="3" fontId="6" fillId="0" borderId="77" xfId="0" applyNumberFormat="1" applyFont="1" applyBorder="1" applyAlignment="1">
      <alignment horizontal="right" vertical="center" wrapText="1"/>
    </xf>
    <xf numFmtId="3" fontId="8" fillId="0" borderId="27" xfId="0" applyNumberFormat="1" applyFont="1" applyBorder="1" applyAlignment="1">
      <alignment horizontal="right" vertical="center"/>
    </xf>
    <xf numFmtId="3" fontId="6" fillId="0" borderId="25" xfId="0" applyNumberFormat="1" applyFont="1" applyBorder="1" applyAlignment="1">
      <alignment horizontal="right" vertical="center" wrapText="1"/>
    </xf>
    <xf numFmtId="3" fontId="6" fillId="0" borderId="78" xfId="0" applyNumberFormat="1" applyFont="1" applyBorder="1" applyAlignment="1">
      <alignment horizontal="right" vertical="center" wrapText="1"/>
    </xf>
    <xf numFmtId="3" fontId="6" fillId="0" borderId="28" xfId="0" applyNumberFormat="1" applyFont="1" applyBorder="1" applyAlignment="1">
      <alignment horizontal="right" vertical="center"/>
    </xf>
    <xf numFmtId="3" fontId="6" fillId="0" borderId="23" xfId="0" applyNumberFormat="1" applyFont="1" applyBorder="1" applyAlignment="1">
      <alignment horizontal="right" vertical="center" wrapText="1"/>
    </xf>
    <xf numFmtId="3" fontId="6" fillId="0" borderId="25" xfId="0" applyNumberFormat="1" applyFont="1" applyBorder="1" applyAlignment="1">
      <alignment horizontal="right" vertical="center"/>
    </xf>
    <xf numFmtId="165" fontId="6" fillId="0" borderId="23" xfId="0" applyNumberFormat="1" applyFont="1" applyBorder="1" applyAlignment="1">
      <alignment horizontal="right" vertical="center" wrapText="1"/>
    </xf>
    <xf numFmtId="165" fontId="6" fillId="0" borderId="24" xfId="0" applyNumberFormat="1" applyFont="1" applyBorder="1" applyAlignment="1">
      <alignment horizontal="right" vertical="center" wrapText="1"/>
    </xf>
    <xf numFmtId="165" fontId="6" fillId="0" borderId="24" xfId="0" applyNumberFormat="1" applyFont="1" applyBorder="1" applyAlignment="1">
      <alignment horizontal="right" vertical="center"/>
    </xf>
    <xf numFmtId="165" fontId="6" fillId="0" borderId="25" xfId="0" applyNumberFormat="1" applyFont="1" applyBorder="1" applyAlignment="1">
      <alignment horizontal="right" vertical="center"/>
    </xf>
    <xf numFmtId="165" fontId="6" fillId="0" borderId="23" xfId="0" applyNumberFormat="1" applyFont="1" applyBorder="1" applyAlignment="1">
      <alignment horizontal="right" vertical="center"/>
    </xf>
    <xf numFmtId="165" fontId="8" fillId="0" borderId="24" xfId="0" applyNumberFormat="1" applyFont="1" applyBorder="1" applyAlignment="1">
      <alignment horizontal="right" vertical="center"/>
    </xf>
    <xf numFmtId="165" fontId="8" fillId="0" borderId="25" xfId="0" applyNumberFormat="1" applyFont="1" applyBorder="1" applyAlignment="1">
      <alignment horizontal="right" vertical="center"/>
    </xf>
    <xf numFmtId="0" fontId="6" fillId="0" borderId="40" xfId="0" applyFont="1" applyBorder="1" applyAlignment="1">
      <alignment vertical="center" wrapText="1"/>
    </xf>
    <xf numFmtId="0" fontId="6" fillId="0" borderId="45" xfId="0" applyFont="1" applyBorder="1" applyAlignment="1">
      <alignment vertical="center"/>
    </xf>
    <xf numFmtId="0" fontId="6" fillId="0" borderId="19" xfId="0" applyFont="1" applyBorder="1" applyAlignment="1">
      <alignment horizontal="right" vertical="center" wrapText="1"/>
    </xf>
    <xf numFmtId="3" fontId="6" fillId="0" borderId="20" xfId="0" applyNumberFormat="1" applyFont="1" applyBorder="1" applyAlignment="1">
      <alignment horizontal="right" vertical="center" wrapText="1"/>
    </xf>
    <xf numFmtId="3" fontId="6" fillId="0" borderId="21" xfId="0" applyNumberFormat="1" applyFont="1" applyBorder="1" applyAlignment="1">
      <alignment horizontal="right" vertical="center" wrapText="1"/>
    </xf>
    <xf numFmtId="164" fontId="7" fillId="7" borderId="37" xfId="0" applyNumberFormat="1" applyFont="1" applyFill="1" applyBorder="1" applyAlignment="1">
      <alignment horizontal="right" vertical="center"/>
    </xf>
    <xf numFmtId="164" fontId="7" fillId="7" borderId="32" xfId="0" applyNumberFormat="1" applyFont="1" applyFill="1" applyBorder="1" applyAlignment="1">
      <alignment horizontal="right" vertical="center"/>
    </xf>
    <xf numFmtId="164" fontId="7" fillId="7" borderId="35" xfId="0" applyNumberFormat="1" applyFont="1" applyFill="1" applyBorder="1" applyAlignment="1">
      <alignment horizontal="right" vertical="center"/>
    </xf>
    <xf numFmtId="165" fontId="6" fillId="0" borderId="27" xfId="0" applyNumberFormat="1" applyFont="1" applyBorder="1" applyAlignment="1">
      <alignment horizontal="right" vertical="center"/>
    </xf>
    <xf numFmtId="6" fontId="6" fillId="0" borderId="0" xfId="2" applyNumberFormat="1" applyFont="1" applyAlignment="1">
      <alignment horizontal="right" vertical="center"/>
    </xf>
    <xf numFmtId="6" fontId="6" fillId="0" borderId="0" xfId="0" applyNumberFormat="1" applyFont="1" applyAlignment="1">
      <alignment vertical="center"/>
    </xf>
    <xf numFmtId="165" fontId="6" fillId="0" borderId="28" xfId="0" applyNumberFormat="1" applyFont="1" applyBorder="1" applyAlignment="1">
      <alignment horizontal="right" vertical="center"/>
    </xf>
    <xf numFmtId="0" fontId="7" fillId="6" borderId="12" xfId="0" applyFont="1" applyFill="1" applyBorder="1" applyAlignment="1">
      <alignment vertical="center"/>
    </xf>
    <xf numFmtId="0" fontId="7" fillId="6" borderId="13" xfId="0" applyFont="1" applyFill="1" applyBorder="1" applyAlignment="1">
      <alignment vertical="center"/>
    </xf>
    <xf numFmtId="0" fontId="7" fillId="6" borderId="14" xfId="0" applyFont="1" applyFill="1" applyBorder="1" applyAlignment="1">
      <alignment vertical="center"/>
    </xf>
    <xf numFmtId="49" fontId="6" fillId="8" borderId="48" xfId="0" applyNumberFormat="1" applyFont="1" applyFill="1" applyBorder="1" applyAlignment="1">
      <alignment horizontal="center" vertical="center"/>
    </xf>
    <xf numFmtId="49" fontId="6" fillId="0" borderId="73" xfId="0" applyNumberFormat="1" applyFont="1" applyBorder="1" applyAlignment="1">
      <alignment horizontal="right" vertical="center"/>
    </xf>
    <xf numFmtId="1" fontId="7" fillId="0" borderId="37" xfId="0" applyNumberFormat="1" applyFont="1" applyBorder="1" applyAlignment="1">
      <alignment horizontal="right" vertical="center"/>
    </xf>
    <xf numFmtId="1" fontId="6" fillId="0" borderId="27" xfId="0" applyNumberFormat="1" applyFont="1" applyBorder="1" applyAlignment="1">
      <alignment horizontal="right" vertical="center"/>
    </xf>
    <xf numFmtId="1" fontId="6" fillId="0" borderId="28" xfId="0" applyNumberFormat="1" applyFont="1" applyBorder="1" applyAlignment="1">
      <alignment horizontal="right" vertical="center"/>
    </xf>
    <xf numFmtId="49" fontId="6" fillId="0" borderId="74" xfId="0" applyNumberFormat="1" applyFont="1" applyBorder="1" applyAlignment="1">
      <alignment horizontal="right" vertical="center"/>
    </xf>
    <xf numFmtId="1" fontId="7" fillId="0" borderId="32" xfId="0" applyNumberFormat="1" applyFont="1" applyBorder="1" applyAlignment="1">
      <alignment horizontal="right" vertical="center"/>
    </xf>
    <xf numFmtId="1" fontId="6" fillId="0" borderId="43" xfId="0" applyNumberFormat="1" applyFont="1" applyBorder="1" applyAlignment="1">
      <alignment horizontal="right" vertical="center"/>
    </xf>
    <xf numFmtId="1" fontId="6" fillId="0" borderId="16" xfId="0" applyNumberFormat="1" applyFont="1" applyBorder="1" applyAlignment="1">
      <alignment horizontal="right" vertical="center"/>
    </xf>
    <xf numFmtId="1" fontId="6" fillId="0" borderId="17" xfId="0" applyNumberFormat="1" applyFont="1" applyBorder="1" applyAlignment="1">
      <alignment horizontal="right" vertical="center"/>
    </xf>
    <xf numFmtId="49" fontId="6" fillId="0" borderId="75" xfId="0" applyNumberFormat="1" applyFont="1" applyBorder="1" applyAlignment="1">
      <alignment horizontal="right" vertical="center"/>
    </xf>
    <xf numFmtId="49" fontId="7" fillId="0" borderId="35" xfId="0" applyNumberFormat="1" applyFont="1" applyBorder="1" applyAlignment="1">
      <alignment horizontal="right" vertical="center"/>
    </xf>
    <xf numFmtId="49" fontId="6" fillId="0" borderId="63" xfId="0" applyNumberFormat="1" applyFont="1" applyBorder="1" applyAlignment="1">
      <alignment horizontal="right" vertical="center"/>
    </xf>
    <xf numFmtId="49" fontId="6" fillId="0" borderId="25" xfId="0" applyNumberFormat="1" applyFont="1" applyBorder="1" applyAlignment="1">
      <alignment horizontal="right" vertical="center"/>
    </xf>
    <xf numFmtId="49" fontId="6" fillId="10" borderId="0" xfId="0" applyNumberFormat="1" applyFont="1" applyFill="1" applyAlignment="1">
      <alignment horizontal="center" vertical="center"/>
    </xf>
    <xf numFmtId="49" fontId="6" fillId="10" borderId="0" xfId="0" applyNumberFormat="1" applyFont="1" applyFill="1" applyAlignment="1">
      <alignment horizontal="right" vertical="center"/>
    </xf>
    <xf numFmtId="49" fontId="6" fillId="10" borderId="30" xfId="0" applyNumberFormat="1" applyFont="1" applyFill="1" applyBorder="1" applyAlignment="1">
      <alignment horizontal="right" vertical="center"/>
    </xf>
    <xf numFmtId="1" fontId="7" fillId="0" borderId="37" xfId="0" applyNumberFormat="1" applyFont="1" applyBorder="1" applyAlignment="1">
      <alignment horizontal="right" vertical="center" wrapText="1"/>
    </xf>
    <xf numFmtId="1" fontId="6" fillId="0" borderId="65" xfId="0" applyNumberFormat="1" applyFont="1" applyBorder="1" applyAlignment="1">
      <alignment horizontal="right" vertical="center" wrapText="1"/>
    </xf>
    <xf numFmtId="1" fontId="7" fillId="0" borderId="32" xfId="0" applyNumberFormat="1" applyFont="1" applyBorder="1" applyAlignment="1">
      <alignment horizontal="right" vertical="center" wrapText="1"/>
    </xf>
    <xf numFmtId="1" fontId="6" fillId="0" borderId="43" xfId="0" applyNumberFormat="1" applyFont="1" applyBorder="1" applyAlignment="1">
      <alignment horizontal="right" vertical="center" wrapText="1"/>
    </xf>
    <xf numFmtId="49" fontId="6" fillId="0" borderId="24" xfId="0" applyNumberFormat="1" applyFont="1" applyBorder="1" applyAlignment="1">
      <alignment horizontal="right" vertical="center"/>
    </xf>
    <xf numFmtId="0" fontId="6" fillId="0" borderId="65" xfId="0" applyFont="1" applyBorder="1" applyAlignment="1">
      <alignment horizontal="right" vertical="center"/>
    </xf>
    <xf numFmtId="0" fontId="6" fillId="0" borderId="43" xfId="0" applyFont="1" applyBorder="1" applyAlignment="1">
      <alignment horizontal="right" vertical="center"/>
    </xf>
    <xf numFmtId="1" fontId="6" fillId="0" borderId="71" xfId="0" applyNumberFormat="1" applyFont="1" applyBorder="1" applyAlignment="1">
      <alignment horizontal="right" vertical="center"/>
    </xf>
    <xf numFmtId="49" fontId="6" fillId="0" borderId="52" xfId="0" applyNumberFormat="1" applyFont="1" applyBorder="1" applyAlignment="1">
      <alignment horizontal="right" vertical="center"/>
    </xf>
    <xf numFmtId="49" fontId="6" fillId="9" borderId="0" xfId="0" applyNumberFormat="1" applyFont="1" applyFill="1" applyAlignment="1">
      <alignment horizontal="center" vertical="center"/>
    </xf>
    <xf numFmtId="49" fontId="6" fillId="9" borderId="0" xfId="0" applyNumberFormat="1" applyFont="1" applyFill="1" applyAlignment="1">
      <alignment horizontal="right" vertical="center"/>
    </xf>
    <xf numFmtId="49" fontId="6" fillId="9" borderId="30" xfId="0" applyNumberFormat="1" applyFont="1" applyFill="1" applyBorder="1" applyAlignment="1">
      <alignment horizontal="right" vertical="center"/>
    </xf>
    <xf numFmtId="1" fontId="6" fillId="0" borderId="65" xfId="0" applyNumberFormat="1" applyFont="1" applyBorder="1" applyAlignment="1">
      <alignment horizontal="right" vertical="center"/>
    </xf>
    <xf numFmtId="49" fontId="6" fillId="8" borderId="55" xfId="0" applyNumberFormat="1" applyFont="1" applyFill="1" applyBorder="1" applyAlignment="1">
      <alignment horizontal="center" vertical="center"/>
    </xf>
    <xf numFmtId="49" fontId="6" fillId="0" borderId="76" xfId="0" applyNumberFormat="1" applyFont="1" applyBorder="1" applyAlignment="1">
      <alignment horizontal="right" vertical="center"/>
    </xf>
    <xf numFmtId="49" fontId="7" fillId="0" borderId="22" xfId="0" applyNumberFormat="1" applyFont="1" applyBorder="1" applyAlignment="1">
      <alignment horizontal="right" vertical="center"/>
    </xf>
    <xf numFmtId="49" fontId="6" fillId="0" borderId="44" xfId="0" applyNumberFormat="1" applyFont="1" applyBorder="1" applyAlignment="1">
      <alignment horizontal="right" vertical="center"/>
    </xf>
    <xf numFmtId="49" fontId="6" fillId="0" borderId="72" xfId="0" applyNumberFormat="1" applyFont="1" applyBorder="1" applyAlignment="1">
      <alignment horizontal="right" vertical="center"/>
    </xf>
    <xf numFmtId="49" fontId="6" fillId="9" borderId="30" xfId="0" applyNumberFormat="1" applyFont="1" applyFill="1" applyBorder="1" applyAlignment="1">
      <alignment horizontal="center" vertical="center"/>
    </xf>
    <xf numFmtId="49" fontId="6" fillId="10" borderId="30" xfId="0" applyNumberFormat="1" applyFont="1" applyFill="1" applyBorder="1" applyAlignment="1">
      <alignment horizontal="center" vertical="center"/>
    </xf>
    <xf numFmtId="1" fontId="7" fillId="0" borderId="35" xfId="0" applyNumberFormat="1" applyFont="1" applyBorder="1" applyAlignment="1">
      <alignment horizontal="right" vertical="center"/>
    </xf>
    <xf numFmtId="1" fontId="6" fillId="0" borderId="63" xfId="0" applyNumberFormat="1" applyFont="1" applyBorder="1" applyAlignment="1">
      <alignment horizontal="right" vertical="center"/>
    </xf>
    <xf numFmtId="1" fontId="6" fillId="0" borderId="25" xfId="0" applyNumberFormat="1" applyFont="1" applyBorder="1" applyAlignment="1">
      <alignment horizontal="right" vertical="center"/>
    </xf>
    <xf numFmtId="2" fontId="6" fillId="8" borderId="48" xfId="0" applyNumberFormat="1" applyFont="1" applyFill="1" applyBorder="1" applyAlignment="1">
      <alignment horizontal="center" vertical="center"/>
    </xf>
    <xf numFmtId="1" fontId="6" fillId="0" borderId="27" xfId="0" applyNumberFormat="1" applyFont="1" applyBorder="1" applyAlignment="1">
      <alignment horizontal="right" vertical="center" wrapText="1"/>
    </xf>
    <xf numFmtId="1" fontId="6" fillId="0" borderId="52" xfId="0" applyNumberFormat="1" applyFont="1" applyBorder="1" applyAlignment="1">
      <alignment horizontal="right" vertical="center"/>
    </xf>
    <xf numFmtId="49" fontId="7" fillId="10" borderId="0" xfId="0" applyNumberFormat="1" applyFont="1" applyFill="1" applyAlignment="1">
      <alignment horizontal="center" vertical="center"/>
    </xf>
    <xf numFmtId="49" fontId="6" fillId="0" borderId="20" xfId="0" applyNumberFormat="1" applyFont="1" applyBorder="1" applyAlignment="1">
      <alignment horizontal="right" vertical="center"/>
    </xf>
    <xf numFmtId="49" fontId="6" fillId="0" borderId="21" xfId="0" applyNumberFormat="1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9" fillId="0" borderId="8" xfId="0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6" fillId="0" borderId="83" xfId="0" applyFont="1" applyBorder="1" applyAlignment="1">
      <alignment horizontal="right" vertical="center"/>
    </xf>
    <xf numFmtId="3" fontId="6" fillId="0" borderId="82" xfId="0" applyNumberFormat="1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 wrapText="1"/>
    </xf>
    <xf numFmtId="0" fontId="6" fillId="0" borderId="18" xfId="0" applyFont="1" applyBorder="1" applyAlignment="1">
      <alignment horizontal="right" vertical="center"/>
    </xf>
    <xf numFmtId="0" fontId="6" fillId="0" borderId="64" xfId="0" applyFont="1" applyBorder="1" applyAlignment="1">
      <alignment horizontal="right" vertical="center"/>
    </xf>
    <xf numFmtId="0" fontId="6" fillId="0" borderId="84" xfId="0" applyFont="1" applyBorder="1" applyAlignment="1">
      <alignment horizontal="right" vertical="center"/>
    </xf>
    <xf numFmtId="3" fontId="6" fillId="0" borderId="27" xfId="0" applyNumberFormat="1" applyFont="1" applyBorder="1" applyAlignment="1">
      <alignment horizontal="right" vertical="center" wrapText="1"/>
    </xf>
    <xf numFmtId="3" fontId="6" fillId="0" borderId="28" xfId="0" applyNumberFormat="1" applyFont="1" applyBorder="1" applyAlignment="1">
      <alignment horizontal="right" vertical="center" wrapText="1"/>
    </xf>
    <xf numFmtId="164" fontId="6" fillId="0" borderId="18" xfId="0" applyNumberFormat="1" applyFont="1" applyBorder="1" applyAlignment="1">
      <alignment horizontal="right" vertical="center"/>
    </xf>
    <xf numFmtId="3" fontId="7" fillId="7" borderId="38" xfId="0" applyNumberFormat="1" applyFont="1" applyFill="1" applyBorder="1" applyAlignment="1">
      <alignment horizontal="right" vertical="center"/>
    </xf>
    <xf numFmtId="0" fontId="6" fillId="0" borderId="59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86" xfId="0" applyFont="1" applyBorder="1" applyAlignment="1">
      <alignment horizontal="right" vertical="center"/>
    </xf>
    <xf numFmtId="0" fontId="7" fillId="8" borderId="41" xfId="0" applyFont="1" applyFill="1" applyBorder="1" applyAlignment="1">
      <alignment horizontal="right" vertical="center"/>
    </xf>
    <xf numFmtId="0" fontId="7" fillId="8" borderId="56" xfId="0" applyFont="1" applyFill="1" applyBorder="1" applyAlignment="1">
      <alignment horizontal="right" vertical="center"/>
    </xf>
    <xf numFmtId="3" fontId="6" fillId="0" borderId="59" xfId="0" applyNumberFormat="1" applyFont="1" applyBorder="1" applyAlignment="1">
      <alignment horizontal="right" vertical="center"/>
    </xf>
    <xf numFmtId="3" fontId="6" fillId="0" borderId="86" xfId="0" applyNumberFormat="1" applyFont="1" applyBorder="1" applyAlignment="1">
      <alignment horizontal="right" vertical="center"/>
    </xf>
    <xf numFmtId="0" fontId="7" fillId="8" borderId="48" xfId="0" applyFont="1" applyFill="1" applyBorder="1" applyAlignment="1">
      <alignment horizontal="right" vertical="center"/>
    </xf>
    <xf numFmtId="0" fontId="7" fillId="8" borderId="55" xfId="0" applyFont="1" applyFill="1" applyBorder="1" applyAlignment="1">
      <alignment horizontal="right" vertical="center"/>
    </xf>
    <xf numFmtId="0" fontId="7" fillId="8" borderId="9" xfId="0" applyFont="1" applyFill="1" applyBorder="1" applyAlignment="1">
      <alignment horizontal="right" vertical="center" wrapText="1"/>
    </xf>
    <xf numFmtId="41" fontId="7" fillId="7" borderId="31" xfId="3" applyNumberFormat="1" applyFont="1" applyFill="1" applyBorder="1" applyAlignment="1" applyProtection="1">
      <alignment horizontal="right" vertical="center"/>
    </xf>
    <xf numFmtId="41" fontId="7" fillId="7" borderId="22" xfId="3" applyNumberFormat="1" applyFont="1" applyFill="1" applyBorder="1" applyAlignment="1" applyProtection="1">
      <alignment horizontal="right" vertical="center"/>
    </xf>
    <xf numFmtId="0" fontId="11" fillId="13" borderId="57" xfId="0" applyFont="1" applyFill="1" applyBorder="1" applyAlignment="1">
      <alignment horizontal="right" vertical="center"/>
    </xf>
    <xf numFmtId="0" fontId="11" fillId="13" borderId="13" xfId="0" applyFont="1" applyFill="1" applyBorder="1" applyAlignment="1">
      <alignment vertical="center"/>
    </xf>
    <xf numFmtId="0" fontId="11" fillId="13" borderId="48" xfId="0" applyFont="1" applyFill="1" applyBorder="1" applyAlignment="1">
      <alignment horizontal="right" vertical="center"/>
    </xf>
    <xf numFmtId="0" fontId="11" fillId="8" borderId="41" xfId="0" applyFont="1" applyFill="1" applyBorder="1" applyAlignment="1">
      <alignment vertical="center" wrapText="1"/>
    </xf>
    <xf numFmtId="0" fontId="11" fillId="13" borderId="55" xfId="0" applyFont="1" applyFill="1" applyBorder="1" applyAlignment="1">
      <alignment horizontal="right" vertical="center"/>
    </xf>
    <xf numFmtId="0" fontId="11" fillId="13" borderId="58" xfId="0" applyFont="1" applyFill="1" applyBorder="1" applyAlignment="1">
      <alignment horizontal="right" vertical="center"/>
    </xf>
    <xf numFmtId="0" fontId="11" fillId="13" borderId="38" xfId="0" applyFont="1" applyFill="1" applyBorder="1" applyAlignment="1">
      <alignment horizontal="right" vertical="center"/>
    </xf>
    <xf numFmtId="0" fontId="11" fillId="8" borderId="48" xfId="0" applyFont="1" applyFill="1" applyBorder="1" applyAlignment="1">
      <alignment horizontal="right" vertical="center"/>
    </xf>
    <xf numFmtId="0" fontId="11" fillId="8" borderId="41" xfId="0" applyFont="1" applyFill="1" applyBorder="1" applyAlignment="1">
      <alignment horizontal="right" vertical="center"/>
    </xf>
    <xf numFmtId="0" fontId="11" fillId="8" borderId="57" xfId="0" applyFont="1" applyFill="1" applyBorder="1" applyAlignment="1">
      <alignment horizontal="right" vertical="center"/>
    </xf>
    <xf numFmtId="0" fontId="11" fillId="8" borderId="62" xfId="0" applyFont="1" applyFill="1" applyBorder="1" applyAlignment="1">
      <alignment horizontal="right" vertical="center"/>
    </xf>
    <xf numFmtId="0" fontId="11" fillId="12" borderId="58" xfId="0" applyFont="1" applyFill="1" applyBorder="1" applyAlignment="1">
      <alignment horizontal="right" vertical="center"/>
    </xf>
    <xf numFmtId="0" fontId="11" fillId="8" borderId="55" xfId="0" applyFont="1" applyFill="1" applyBorder="1" applyAlignment="1">
      <alignment horizontal="right" vertical="center"/>
    </xf>
    <xf numFmtId="0" fontId="11" fillId="12" borderId="9" xfId="0" applyFont="1" applyFill="1" applyBorder="1" applyAlignment="1">
      <alignment horizontal="right" vertical="center"/>
    </xf>
    <xf numFmtId="0" fontId="11" fillId="8" borderId="56" xfId="0" applyFont="1" applyFill="1" applyBorder="1" applyAlignment="1">
      <alignment horizontal="right" vertical="center"/>
    </xf>
    <xf numFmtId="0" fontId="11" fillId="13" borderId="85" xfId="0" applyFont="1" applyFill="1" applyBorder="1" applyAlignment="1">
      <alignment horizontal="right" vertical="center"/>
    </xf>
    <xf numFmtId="0" fontId="11" fillId="8" borderId="48" xfId="0" applyFont="1" applyFill="1" applyBorder="1" applyAlignment="1">
      <alignment horizontal="right" vertical="center" wrapText="1"/>
    </xf>
    <xf numFmtId="0" fontId="11" fillId="8" borderId="41" xfId="0" applyFont="1" applyFill="1" applyBorder="1" applyAlignment="1">
      <alignment horizontal="right" vertical="center" wrapText="1"/>
    </xf>
    <xf numFmtId="3" fontId="11" fillId="8" borderId="48" xfId="0" applyNumberFormat="1" applyFont="1" applyFill="1" applyBorder="1" applyAlignment="1">
      <alignment horizontal="right" vertical="center"/>
    </xf>
    <xf numFmtId="3" fontId="11" fillId="8" borderId="41" xfId="0" applyNumberFormat="1" applyFont="1" applyFill="1" applyBorder="1" applyAlignment="1">
      <alignment horizontal="right" vertical="center"/>
    </xf>
    <xf numFmtId="3" fontId="11" fillId="8" borderId="38" xfId="0" applyNumberFormat="1" applyFont="1" applyFill="1" applyBorder="1" applyAlignment="1">
      <alignment horizontal="right" vertical="center"/>
    </xf>
    <xf numFmtId="0" fontId="11" fillId="8" borderId="38" xfId="0" applyFont="1" applyFill="1" applyBorder="1" applyAlignment="1">
      <alignment horizontal="right" vertical="center"/>
    </xf>
    <xf numFmtId="0" fontId="11" fillId="8" borderId="0" xfId="0" applyFont="1" applyFill="1" applyAlignment="1">
      <alignment horizontal="right" vertical="center"/>
    </xf>
    <xf numFmtId="10" fontId="11" fillId="8" borderId="48" xfId="0" applyNumberFormat="1" applyFont="1" applyFill="1" applyBorder="1" applyAlignment="1">
      <alignment horizontal="right" vertical="center"/>
    </xf>
    <xf numFmtId="10" fontId="11" fillId="8" borderId="41" xfId="0" applyNumberFormat="1" applyFont="1" applyFill="1" applyBorder="1" applyAlignment="1">
      <alignment horizontal="right" vertical="center"/>
    </xf>
    <xf numFmtId="10" fontId="11" fillId="8" borderId="55" xfId="0" applyNumberFormat="1" applyFont="1" applyFill="1" applyBorder="1" applyAlignment="1">
      <alignment horizontal="right" vertical="center"/>
    </xf>
    <xf numFmtId="10" fontId="11" fillId="8" borderId="56" xfId="0" applyNumberFormat="1" applyFont="1" applyFill="1" applyBorder="1" applyAlignment="1">
      <alignment horizontal="right" vertical="center"/>
    </xf>
    <xf numFmtId="0" fontId="11" fillId="8" borderId="9" xfId="0" applyFont="1" applyFill="1" applyBorder="1" applyAlignment="1">
      <alignment horizontal="right" vertical="center"/>
    </xf>
    <xf numFmtId="0" fontId="6" fillId="0" borderId="8" xfId="0" applyFont="1" applyBorder="1" applyAlignment="1" applyProtection="1">
      <alignment horizontal="left" vertical="center"/>
      <protection locked="0"/>
    </xf>
    <xf numFmtId="3" fontId="8" fillId="0" borderId="70" xfId="0" applyNumberFormat="1" applyFont="1" applyBorder="1" applyAlignment="1">
      <alignment horizontal="right" vertical="center"/>
    </xf>
    <xf numFmtId="3" fontId="8" fillId="0" borderId="65" xfId="0" applyNumberFormat="1" applyFont="1" applyBorder="1" applyAlignment="1">
      <alignment horizontal="right" vertical="center"/>
    </xf>
    <xf numFmtId="3" fontId="8" fillId="0" borderId="28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10" xfId="0" applyFont="1" applyBorder="1" applyAlignment="1" applyProtection="1">
      <alignment vertical="center"/>
      <protection locked="0"/>
    </xf>
    <xf numFmtId="0" fontId="6" fillId="0" borderId="45" xfId="0" applyFont="1" applyBorder="1" applyAlignment="1">
      <alignment vertical="center" wrapText="1"/>
    </xf>
    <xf numFmtId="0" fontId="6" fillId="9" borderId="29" xfId="0" applyFont="1" applyFill="1" applyBorder="1" applyAlignment="1">
      <alignment vertical="center"/>
    </xf>
    <xf numFmtId="0" fontId="6" fillId="9" borderId="0" xfId="0" applyFont="1" applyFill="1" applyAlignment="1">
      <alignment vertical="center"/>
    </xf>
    <xf numFmtId="0" fontId="6" fillId="9" borderId="30" xfId="0" applyFont="1" applyFill="1" applyBorder="1" applyAlignment="1">
      <alignment vertical="center"/>
    </xf>
    <xf numFmtId="0" fontId="7" fillId="10" borderId="29" xfId="0" applyFont="1" applyFill="1" applyBorder="1" applyAlignment="1">
      <alignment vertical="center"/>
    </xf>
    <xf numFmtId="0" fontId="6" fillId="10" borderId="0" xfId="0" applyFont="1" applyFill="1" applyAlignment="1">
      <alignment vertical="center"/>
    </xf>
    <xf numFmtId="0" fontId="6" fillId="10" borderId="30" xfId="0" applyFont="1" applyFill="1" applyBorder="1" applyAlignment="1">
      <alignment vertical="center"/>
    </xf>
    <xf numFmtId="0" fontId="6" fillId="0" borderId="45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 wrapText="1" indent="1"/>
    </xf>
    <xf numFmtId="0" fontId="6" fillId="0" borderId="39" xfId="0" applyFont="1" applyBorder="1" applyAlignment="1">
      <alignment horizontal="left" vertical="center" indent="1"/>
    </xf>
    <xf numFmtId="0" fontId="6" fillId="0" borderId="40" xfId="0" applyFont="1" applyBorder="1" applyAlignment="1">
      <alignment horizontal="left" vertical="center" indent="1"/>
    </xf>
    <xf numFmtId="0" fontId="6" fillId="0" borderId="42" xfId="0" applyFont="1" applyBorder="1" applyAlignment="1">
      <alignment horizontal="left" vertical="center" indent="1"/>
    </xf>
    <xf numFmtId="0" fontId="5" fillId="0" borderId="11" xfId="0" applyFont="1" applyBorder="1" applyAlignment="1" applyProtection="1">
      <alignment vertical="center"/>
      <protection locked="0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8" xfId="0" applyFont="1" applyBorder="1" applyAlignment="1" applyProtection="1">
      <alignment vertical="center"/>
      <protection locked="0"/>
    </xf>
    <xf numFmtId="0" fontId="12" fillId="2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6" fillId="0" borderId="36" xfId="0" applyFont="1" applyBorder="1" applyAlignment="1">
      <alignment horizontal="left" vertical="center"/>
    </xf>
    <xf numFmtId="0" fontId="6" fillId="8" borderId="48" xfId="0" applyFont="1" applyFill="1" applyBorder="1" applyAlignment="1">
      <alignment horizontal="right" vertical="center" wrapText="1"/>
    </xf>
    <xf numFmtId="3" fontId="6" fillId="8" borderId="41" xfId="0" applyNumberFormat="1" applyFont="1" applyFill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3" fontId="7" fillId="8" borderId="38" xfId="0" applyNumberFormat="1" applyFont="1" applyFill="1" applyBorder="1" applyAlignment="1">
      <alignment horizontal="right" vertical="center"/>
    </xf>
    <xf numFmtId="0" fontId="6" fillId="0" borderId="33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indent="1"/>
    </xf>
    <xf numFmtId="3" fontId="13" fillId="7" borderId="38" xfId="0" applyNumberFormat="1" applyFont="1" applyFill="1" applyBorder="1" applyAlignment="1">
      <alignment horizontal="right" vertical="center"/>
    </xf>
    <xf numFmtId="3" fontId="7" fillId="8" borderId="58" xfId="0" applyNumberFormat="1" applyFont="1" applyFill="1" applyBorder="1" applyAlignment="1">
      <alignment horizontal="right" vertical="center"/>
    </xf>
    <xf numFmtId="3" fontId="7" fillId="8" borderId="9" xfId="0" applyNumberFormat="1" applyFont="1" applyFill="1" applyBorder="1" applyAlignment="1">
      <alignment horizontal="right" vertical="center"/>
    </xf>
    <xf numFmtId="0" fontId="6" fillId="0" borderId="46" xfId="0" applyFont="1" applyBorder="1" applyAlignment="1">
      <alignment horizontal="right" vertical="center"/>
    </xf>
    <xf numFmtId="0" fontId="6" fillId="0" borderId="36" xfId="0" applyFont="1" applyBorder="1" applyAlignment="1">
      <alignment horizontal="right" vertical="center"/>
    </xf>
    <xf numFmtId="0" fontId="6" fillId="0" borderId="47" xfId="0" applyFont="1" applyBorder="1" applyAlignment="1">
      <alignment horizontal="right" vertical="center"/>
    </xf>
    <xf numFmtId="0" fontId="6" fillId="0" borderId="34" xfId="0" applyFont="1" applyBorder="1" applyAlignment="1">
      <alignment horizontal="right" vertical="center"/>
    </xf>
    <xf numFmtId="0" fontId="6" fillId="8" borderId="48" xfId="0" applyFont="1" applyFill="1" applyBorder="1" applyAlignment="1">
      <alignment horizontal="left" vertical="center"/>
    </xf>
    <xf numFmtId="0" fontId="6" fillId="8" borderId="41" xfId="0" applyFont="1" applyFill="1" applyBorder="1" applyAlignment="1">
      <alignment horizontal="left" vertical="center"/>
    </xf>
    <xf numFmtId="0" fontId="7" fillId="8" borderId="38" xfId="0" applyFont="1" applyFill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6" fillId="0" borderId="64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indent="5"/>
    </xf>
    <xf numFmtId="0" fontId="6" fillId="8" borderId="48" xfId="0" applyFont="1" applyFill="1" applyBorder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7" fillId="8" borderId="38" xfId="0" applyFont="1" applyFill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6" fillId="0" borderId="39" xfId="0" applyFont="1" applyBorder="1" applyAlignment="1">
      <alignment horizontal="left" vertical="center" indent="5"/>
    </xf>
    <xf numFmtId="0" fontId="6" fillId="8" borderId="55" xfId="0" applyFont="1" applyFill="1" applyBorder="1" applyAlignment="1">
      <alignment horizontal="center" vertical="center"/>
    </xf>
    <xf numFmtId="0" fontId="6" fillId="8" borderId="66" xfId="0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right" vertical="center"/>
    </xf>
    <xf numFmtId="0" fontId="8" fillId="0" borderId="24" xfId="0" applyFont="1" applyBorder="1" applyAlignment="1">
      <alignment horizontal="right" vertical="center"/>
    </xf>
    <xf numFmtId="0" fontId="6" fillId="0" borderId="67" xfId="0" applyFont="1" applyBorder="1" applyAlignment="1">
      <alignment horizontal="left" vertical="center"/>
    </xf>
    <xf numFmtId="0" fontId="7" fillId="7" borderId="38" xfId="0" applyFont="1" applyFill="1" applyBorder="1" applyAlignment="1">
      <alignment horizontal="right" vertical="center"/>
    </xf>
    <xf numFmtId="0" fontId="6" fillId="0" borderId="68" xfId="0" applyFont="1" applyBorder="1" applyAlignment="1">
      <alignment horizontal="left" vertical="center"/>
    </xf>
    <xf numFmtId="0" fontId="7" fillId="7" borderId="9" xfId="0" applyFont="1" applyFill="1" applyBorder="1" applyAlignment="1">
      <alignment horizontal="right" vertical="center"/>
    </xf>
    <xf numFmtId="0" fontId="6" fillId="0" borderId="44" xfId="0" applyFont="1" applyBorder="1" applyAlignment="1">
      <alignment horizontal="right" vertical="center"/>
    </xf>
    <xf numFmtId="0" fontId="6" fillId="0" borderId="20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 wrapText="1"/>
    </xf>
    <xf numFmtId="167" fontId="6" fillId="0" borderId="26" xfId="3" applyNumberFormat="1" applyFont="1" applyBorder="1" applyAlignment="1" applyProtection="1">
      <alignment horizontal="right" vertical="center"/>
    </xf>
    <xf numFmtId="0" fontId="15" fillId="0" borderId="2" xfId="0" applyFont="1" applyBorder="1" applyAlignment="1">
      <alignment horizontal="right" vertical="center"/>
    </xf>
    <xf numFmtId="3" fontId="0" fillId="0" borderId="0" xfId="0" applyNumberFormat="1" applyAlignment="1">
      <alignment vertical="center" wrapText="1"/>
    </xf>
    <xf numFmtId="10" fontId="6" fillId="0" borderId="63" xfId="0" applyNumberFormat="1" applyFont="1" applyBorder="1" applyAlignment="1">
      <alignment horizontal="right" vertical="center"/>
    </xf>
    <xf numFmtId="10" fontId="6" fillId="0" borderId="19" xfId="0" applyNumberFormat="1" applyFont="1" applyBorder="1" applyAlignment="1">
      <alignment horizontal="right" vertical="center"/>
    </xf>
    <xf numFmtId="10" fontId="6" fillId="0" borderId="44" xfId="0" applyNumberFormat="1" applyFont="1" applyBorder="1" applyAlignment="1">
      <alignment horizontal="right" vertical="center"/>
    </xf>
    <xf numFmtId="167" fontId="6" fillId="0" borderId="27" xfId="3" applyNumberFormat="1" applyFont="1" applyBorder="1" applyAlignment="1" applyProtection="1">
      <alignment horizontal="right" vertical="center"/>
    </xf>
    <xf numFmtId="0" fontId="6" fillId="0" borderId="49" xfId="0" applyFont="1" applyBorder="1" applyAlignment="1">
      <alignment horizontal="right" vertical="center"/>
    </xf>
    <xf numFmtId="1" fontId="6" fillId="0" borderId="89" xfId="0" applyNumberFormat="1" applyFont="1" applyBorder="1" applyAlignment="1">
      <alignment horizontal="right" vertical="center"/>
    </xf>
    <xf numFmtId="164" fontId="6" fillId="0" borderId="0" xfId="2" applyNumberFormat="1" applyFont="1" applyAlignment="1">
      <alignment horizontal="right" vertical="center"/>
    </xf>
    <xf numFmtId="3" fontId="8" fillId="0" borderId="77" xfId="0" applyNumberFormat="1" applyFont="1" applyBorder="1" applyAlignment="1">
      <alignment horizontal="right" vertical="center" wrapText="1"/>
    </xf>
    <xf numFmtId="3" fontId="8" fillId="0" borderId="78" xfId="0" applyNumberFormat="1" applyFont="1" applyBorder="1" applyAlignment="1">
      <alignment horizontal="right" vertical="center" wrapText="1"/>
    </xf>
    <xf numFmtId="164" fontId="6" fillId="0" borderId="48" xfId="0" applyNumberFormat="1" applyFont="1" applyBorder="1" applyAlignment="1">
      <alignment horizontal="right" vertical="center"/>
    </xf>
    <xf numFmtId="0" fontId="6" fillId="0" borderId="89" xfId="0" applyFont="1" applyBorder="1" applyAlignment="1">
      <alignment horizontal="right" vertical="center"/>
    </xf>
    <xf numFmtId="0" fontId="6" fillId="0" borderId="90" xfId="0" applyFont="1" applyBorder="1" applyAlignment="1">
      <alignment horizontal="right" vertical="center"/>
    </xf>
    <xf numFmtId="0" fontId="8" fillId="0" borderId="65" xfId="0" applyFont="1" applyBorder="1" applyAlignment="1">
      <alignment horizontal="right" vertical="center"/>
    </xf>
    <xf numFmtId="0" fontId="6" fillId="0" borderId="80" xfId="0" applyFont="1" applyBorder="1" applyAlignment="1">
      <alignment horizontal="right" vertical="center"/>
    </xf>
    <xf numFmtId="166" fontId="6" fillId="0" borderId="69" xfId="0" applyNumberFormat="1" applyFont="1" applyBorder="1" applyAlignment="1">
      <alignment horizontal="right" vertical="center"/>
    </xf>
    <xf numFmtId="164" fontId="6" fillId="0" borderId="27" xfId="0" applyNumberFormat="1" applyFont="1" applyBorder="1" applyAlignment="1">
      <alignment horizontal="right" vertical="center"/>
    </xf>
    <xf numFmtId="164" fontId="16" fillId="0" borderId="91" xfId="0" applyNumberFormat="1" applyFont="1" applyBorder="1" applyAlignment="1" applyProtection="1">
      <alignment vertical="top"/>
      <protection locked="0"/>
    </xf>
    <xf numFmtId="3" fontId="8" fillId="0" borderId="16" xfId="0" applyNumberFormat="1" applyFont="1" applyBorder="1" applyAlignment="1">
      <alignment horizontal="right" vertical="center"/>
    </xf>
    <xf numFmtId="3" fontId="8" fillId="0" borderId="24" xfId="0" applyNumberFormat="1" applyFont="1" applyBorder="1" applyAlignment="1">
      <alignment horizontal="right" vertical="center"/>
    </xf>
    <xf numFmtId="164" fontId="8" fillId="0" borderId="80" xfId="0" applyNumberFormat="1" applyFont="1" applyBorder="1" applyAlignment="1">
      <alignment horizontal="right" vertical="center" wrapText="1"/>
    </xf>
    <xf numFmtId="0" fontId="8" fillId="0" borderId="24" xfId="0" applyFont="1" applyBorder="1" applyAlignment="1">
      <alignment horizontal="right" vertical="center" wrapText="1"/>
    </xf>
    <xf numFmtId="0" fontId="8" fillId="0" borderId="27" xfId="0" applyFont="1" applyBorder="1" applyAlignment="1">
      <alignment horizontal="right" vertical="center" wrapText="1"/>
    </xf>
    <xf numFmtId="0" fontId="8" fillId="0" borderId="18" xfId="0" applyFont="1" applyBorder="1" applyAlignment="1">
      <alignment horizontal="right" vertical="center" wrapText="1"/>
    </xf>
    <xf numFmtId="0" fontId="8" fillId="0" borderId="18" xfId="0" applyFont="1" applyBorder="1" applyAlignment="1">
      <alignment horizontal="right" vertical="center"/>
    </xf>
    <xf numFmtId="164" fontId="8" fillId="0" borderId="24" xfId="0" applyNumberFormat="1" applyFont="1" applyBorder="1" applyAlignment="1">
      <alignment horizontal="right" vertical="center"/>
    </xf>
    <xf numFmtId="164" fontId="6" fillId="0" borderId="0" xfId="0" applyNumberFormat="1" applyFont="1"/>
    <xf numFmtId="0" fontId="5" fillId="0" borderId="3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5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/>
    </xf>
    <xf numFmtId="0" fontId="6" fillId="0" borderId="92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1" fontId="7" fillId="7" borderId="37" xfId="0" applyNumberFormat="1" applyFont="1" applyFill="1" applyBorder="1" applyAlignment="1">
      <alignment horizontal="right" vertical="center"/>
    </xf>
    <xf numFmtId="1" fontId="7" fillId="7" borderId="32" xfId="0" applyNumberFormat="1" applyFont="1" applyFill="1" applyBorder="1" applyAlignment="1">
      <alignment horizontal="right" vertical="center"/>
    </xf>
    <xf numFmtId="1" fontId="7" fillId="7" borderId="35" xfId="0" applyNumberFormat="1" applyFont="1" applyFill="1" applyBorder="1" applyAlignment="1">
      <alignment horizontal="right" vertical="center"/>
    </xf>
    <xf numFmtId="1" fontId="7" fillId="7" borderId="31" xfId="0" applyNumberFormat="1" applyFont="1" applyFill="1" applyBorder="1" applyAlignment="1">
      <alignment horizontal="right" vertical="center"/>
    </xf>
    <xf numFmtId="10" fontId="6" fillId="0" borderId="27" xfId="0" applyNumberFormat="1" applyFont="1" applyBorder="1" applyAlignment="1">
      <alignment horizontal="right" vertical="center" wrapText="1"/>
    </xf>
    <xf numFmtId="0" fontId="6" fillId="0" borderId="93" xfId="0" applyFont="1" applyBorder="1" applyAlignment="1">
      <alignment horizontal="right" vertical="center"/>
    </xf>
    <xf numFmtId="0" fontId="11" fillId="8" borderId="94" xfId="0" applyFont="1" applyFill="1" applyBorder="1" applyAlignment="1">
      <alignment horizontal="right" vertical="center"/>
    </xf>
    <xf numFmtId="165" fontId="6" fillId="0" borderId="95" xfId="0" applyNumberFormat="1" applyFont="1" applyBorder="1" applyAlignment="1">
      <alignment horizontal="right" vertical="center"/>
    </xf>
    <xf numFmtId="0" fontId="6" fillId="0" borderId="39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6" fillId="0" borderId="53" xfId="0" applyFont="1" applyBorder="1" applyAlignment="1">
      <alignment horizontal="left" vertical="center"/>
    </xf>
    <xf numFmtId="0" fontId="6" fillId="0" borderId="51" xfId="0" applyFont="1" applyBorder="1" applyAlignment="1">
      <alignment horizontal="left" vertical="center"/>
    </xf>
    <xf numFmtId="0" fontId="6" fillId="0" borderId="81" xfId="0" applyFont="1" applyBorder="1" applyAlignment="1">
      <alignment horizontal="left" vertical="center"/>
    </xf>
    <xf numFmtId="0" fontId="6" fillId="0" borderId="81" xfId="0" applyFont="1" applyBorder="1" applyAlignment="1">
      <alignment horizontal="left" vertical="center" wrapText="1" indent="1"/>
    </xf>
    <xf numFmtId="0" fontId="6" fillId="0" borderId="51" xfId="0" applyFont="1" applyBorder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wrapText="1"/>
    </xf>
    <xf numFmtId="0" fontId="6" fillId="0" borderId="53" xfId="0" applyFont="1" applyBorder="1" applyAlignment="1">
      <alignment vertical="center"/>
    </xf>
    <xf numFmtId="0" fontId="6" fillId="0" borderId="81" xfId="0" applyFont="1" applyBorder="1" applyAlignment="1">
      <alignment horizontal="left" vertical="center" indent="1"/>
    </xf>
    <xf numFmtId="0" fontId="6" fillId="0" borderId="81" xfId="0" applyFont="1" applyBorder="1" applyAlignment="1">
      <alignment vertical="center"/>
    </xf>
    <xf numFmtId="0" fontId="6" fillId="0" borderId="53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5"/>
    </xf>
    <xf numFmtId="0" fontId="6" fillId="0" borderId="66" xfId="0" applyFont="1" applyBorder="1" applyAlignment="1">
      <alignment horizontal="left" vertical="center"/>
    </xf>
    <xf numFmtId="0" fontId="6" fillId="0" borderId="92" xfId="0" applyFont="1" applyBorder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92" xfId="0" applyFont="1" applyBorder="1" applyAlignment="1">
      <alignment vertical="center"/>
    </xf>
    <xf numFmtId="0" fontId="6" fillId="0" borderId="53" xfId="0" applyFont="1" applyBorder="1" applyAlignment="1">
      <alignment horizontal="left" vertical="center" indent="1"/>
    </xf>
    <xf numFmtId="0" fontId="6" fillId="0" borderId="66" xfId="0" applyFont="1" applyBorder="1" applyAlignment="1">
      <alignment vertical="center" wrapText="1"/>
    </xf>
    <xf numFmtId="0" fontId="7" fillId="10" borderId="0" xfId="0" applyFont="1" applyFill="1" applyAlignment="1">
      <alignment vertical="center"/>
    </xf>
    <xf numFmtId="3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right" vertical="center"/>
    </xf>
    <xf numFmtId="41" fontId="7" fillId="0" borderId="31" xfId="3" applyNumberFormat="1" applyFont="1" applyFill="1" applyBorder="1" applyAlignment="1" applyProtection="1">
      <alignment horizontal="right" vertical="center"/>
    </xf>
    <xf numFmtId="0" fontId="0" fillId="0" borderId="0" xfId="0" applyAlignment="1">
      <alignment vertical="center" wrapText="1"/>
    </xf>
    <xf numFmtId="164" fontId="13" fillId="7" borderId="48" xfId="0" applyNumberFormat="1" applyFont="1" applyFill="1" applyBorder="1" applyAlignment="1">
      <alignment horizontal="right" vertical="center"/>
    </xf>
    <xf numFmtId="1" fontId="6" fillId="0" borderId="88" xfId="0" applyNumberFormat="1" applyFont="1" applyBorder="1" applyAlignment="1">
      <alignment horizontal="right" vertical="center"/>
    </xf>
    <xf numFmtId="1" fontId="6" fillId="0" borderId="86" xfId="0" applyNumberFormat="1" applyFont="1" applyBorder="1" applyAlignment="1">
      <alignment horizontal="right" vertical="center"/>
    </xf>
    <xf numFmtId="1" fontId="6" fillId="0" borderId="87" xfId="0" applyNumberFormat="1" applyFont="1" applyBorder="1" applyAlignment="1">
      <alignment horizontal="right" vertical="center"/>
    </xf>
    <xf numFmtId="10" fontId="6" fillId="0" borderId="59" xfId="0" applyNumberFormat="1" applyFont="1" applyBorder="1" applyAlignment="1">
      <alignment horizontal="right" vertical="center"/>
    </xf>
    <xf numFmtId="10" fontId="6" fillId="0" borderId="86" xfId="0" applyNumberFormat="1" applyFont="1" applyBorder="1" applyAlignment="1">
      <alignment horizontal="right" vertical="center"/>
    </xf>
    <xf numFmtId="41" fontId="8" fillId="0" borderId="41" xfId="0" applyNumberFormat="1" applyFont="1" applyBorder="1" applyAlignment="1">
      <alignment horizontal="right" vertical="center" wrapText="1"/>
    </xf>
    <xf numFmtId="10" fontId="7" fillId="7" borderId="32" xfId="1" applyNumberFormat="1" applyFont="1" applyFill="1" applyBorder="1" applyAlignment="1" applyProtection="1">
      <alignment horizontal="right" vertical="center"/>
    </xf>
    <xf numFmtId="1" fontId="6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vertical="center"/>
    </xf>
    <xf numFmtId="3" fontId="17" fillId="0" borderId="0" xfId="0" applyNumberFormat="1" applyFont="1"/>
    <xf numFmtId="10" fontId="6" fillId="0" borderId="0" xfId="1" applyNumberFormat="1" applyFont="1" applyAlignment="1">
      <alignment horizontal="right" vertical="center"/>
    </xf>
    <xf numFmtId="164" fontId="6" fillId="0" borderId="96" xfId="0" applyNumberFormat="1" applyFont="1" applyBorder="1" applyAlignment="1">
      <alignment horizontal="right" vertical="center" wrapText="1"/>
    </xf>
    <xf numFmtId="164" fontId="6" fillId="0" borderId="54" xfId="0" applyNumberFormat="1" applyFont="1" applyBorder="1" applyAlignment="1">
      <alignment horizontal="right" vertical="center" wrapText="1"/>
    </xf>
    <xf numFmtId="164" fontId="6" fillId="0" borderId="89" xfId="0" applyNumberFormat="1" applyFont="1" applyBorder="1" applyAlignment="1">
      <alignment horizontal="right" vertical="center"/>
    </xf>
    <xf numFmtId="2" fontId="6" fillId="0" borderId="0" xfId="0" applyNumberFormat="1" applyFont="1" applyAlignment="1">
      <alignment vertical="center"/>
    </xf>
    <xf numFmtId="44" fontId="6" fillId="0" borderId="0" xfId="2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164" fontId="6" fillId="0" borderId="27" xfId="0" applyNumberFormat="1" applyFont="1" applyBorder="1" applyAlignment="1">
      <alignment horizontal="right" vertical="center" wrapText="1"/>
    </xf>
    <xf numFmtId="8" fontId="18" fillId="0" borderId="0" xfId="0" applyNumberFormat="1" applyFont="1"/>
    <xf numFmtId="0" fontId="19" fillId="0" borderId="2" xfId="0" applyFont="1" applyBorder="1" applyAlignment="1">
      <alignment horizontal="right" vertical="center"/>
    </xf>
    <xf numFmtId="164" fontId="16" fillId="0" borderId="91" xfId="0" applyNumberFormat="1" applyFont="1" applyBorder="1" applyAlignment="1" applyProtection="1">
      <alignment horizontal="center" vertical="top"/>
      <protection locked="0"/>
    </xf>
    <xf numFmtId="0" fontId="2" fillId="0" borderId="97" xfId="0" applyFont="1" applyBorder="1" applyAlignment="1">
      <alignment horizontal="center" vertical="center"/>
    </xf>
    <xf numFmtId="164" fontId="8" fillId="0" borderId="98" xfId="0" applyNumberFormat="1" applyFont="1" applyBorder="1" applyAlignment="1">
      <alignment vertical="top"/>
    </xf>
    <xf numFmtId="3" fontId="15" fillId="0" borderId="2" xfId="0" applyNumberFormat="1" applyFont="1" applyBorder="1" applyAlignment="1">
      <alignment horizontal="right" vertical="center"/>
    </xf>
    <xf numFmtId="4" fontId="19" fillId="0" borderId="2" xfId="0" applyNumberFormat="1" applyFont="1" applyBorder="1" applyAlignment="1">
      <alignment horizontal="right" vertical="center"/>
    </xf>
    <xf numFmtId="4" fontId="15" fillId="0" borderId="2" xfId="0" applyNumberFormat="1" applyFont="1" applyBorder="1" applyAlignment="1">
      <alignment horizontal="right" vertical="center"/>
    </xf>
    <xf numFmtId="164" fontId="5" fillId="0" borderId="4" xfId="0" applyNumberFormat="1" applyFont="1" applyBorder="1" applyAlignment="1">
      <alignment horizontal="right" vertical="center"/>
    </xf>
    <xf numFmtId="164" fontId="12" fillId="2" borderId="2" xfId="0" applyNumberFormat="1" applyFont="1" applyFill="1" applyBorder="1" applyAlignment="1">
      <alignment horizontal="center" vertical="center"/>
    </xf>
    <xf numFmtId="164" fontId="6" fillId="0" borderId="16" xfId="0" applyNumberFormat="1" applyFont="1" applyBorder="1" applyAlignment="1">
      <alignment horizontal="right" vertical="center"/>
    </xf>
    <xf numFmtId="164" fontId="6" fillId="0" borderId="16" xfId="0" applyNumberFormat="1" applyFont="1" applyBorder="1" applyAlignment="1">
      <alignment horizontal="right" vertical="center" wrapText="1"/>
    </xf>
    <xf numFmtId="164" fontId="6" fillId="0" borderId="24" xfId="0" applyNumberFormat="1" applyFont="1" applyBorder="1" applyAlignment="1">
      <alignment horizontal="right" vertical="center" wrapText="1"/>
    </xf>
    <xf numFmtId="164" fontId="6" fillId="0" borderId="16" xfId="0" applyNumberFormat="1" applyFont="1" applyBorder="1" applyAlignment="1">
      <alignment horizontal="left" vertical="center"/>
    </xf>
    <xf numFmtId="164" fontId="6" fillId="0" borderId="24" xfId="0" applyNumberFormat="1" applyFont="1" applyBorder="1" applyAlignment="1">
      <alignment horizontal="left" vertical="center"/>
    </xf>
    <xf numFmtId="164" fontId="6" fillId="0" borderId="20" xfId="0" applyNumberFormat="1" applyFont="1" applyBorder="1" applyAlignment="1">
      <alignment horizontal="right" vertical="center"/>
    </xf>
    <xf numFmtId="164" fontId="6" fillId="0" borderId="77" xfId="0" applyNumberFormat="1" applyFont="1" applyBorder="1" applyAlignment="1">
      <alignment horizontal="right" vertical="center" wrapText="1"/>
    </xf>
    <xf numFmtId="164" fontId="6" fillId="0" borderId="78" xfId="0" applyNumberFormat="1" applyFont="1" applyBorder="1" applyAlignment="1">
      <alignment horizontal="right" vertical="center" wrapText="1"/>
    </xf>
    <xf numFmtId="164" fontId="6" fillId="0" borderId="95" xfId="0" applyNumberFormat="1" applyFont="1" applyBorder="1" applyAlignment="1">
      <alignment horizontal="right" vertical="center"/>
    </xf>
    <xf numFmtId="164" fontId="7" fillId="6" borderId="13" xfId="0" applyNumberFormat="1" applyFont="1" applyFill="1" applyBorder="1" applyAlignment="1">
      <alignment vertical="center"/>
    </xf>
    <xf numFmtId="164" fontId="6" fillId="9" borderId="0" xfId="0" applyNumberFormat="1" applyFont="1" applyFill="1" applyAlignment="1">
      <alignment vertical="center"/>
    </xf>
    <xf numFmtId="164" fontId="6" fillId="10" borderId="0" xfId="0" applyNumberFormat="1" applyFont="1" applyFill="1" applyAlignment="1">
      <alignment vertical="center"/>
    </xf>
    <xf numFmtId="164" fontId="6" fillId="0" borderId="43" xfId="0" applyNumberFormat="1" applyFont="1" applyBorder="1" applyAlignment="1">
      <alignment horizontal="right" vertical="center"/>
    </xf>
    <xf numFmtId="164" fontId="6" fillId="0" borderId="63" xfId="0" applyNumberFormat="1" applyFont="1" applyBorder="1" applyAlignment="1">
      <alignment horizontal="right" vertical="center"/>
    </xf>
    <xf numFmtId="164" fontId="6" fillId="10" borderId="0" xfId="0" applyNumberFormat="1" applyFont="1" applyFill="1" applyAlignment="1">
      <alignment horizontal="right" vertical="center"/>
    </xf>
    <xf numFmtId="164" fontId="6" fillId="0" borderId="65" xfId="0" applyNumberFormat="1" applyFont="1" applyBorder="1" applyAlignment="1">
      <alignment horizontal="right" vertical="center" wrapText="1"/>
    </xf>
    <xf numFmtId="164" fontId="6" fillId="0" borderId="43" xfId="0" applyNumberFormat="1" applyFont="1" applyBorder="1" applyAlignment="1">
      <alignment horizontal="right" vertical="center" wrapText="1"/>
    </xf>
    <xf numFmtId="164" fontId="6" fillId="9" borderId="0" xfId="0" applyNumberFormat="1" applyFont="1" applyFill="1" applyAlignment="1">
      <alignment horizontal="right" vertical="center"/>
    </xf>
    <xf numFmtId="164" fontId="6" fillId="0" borderId="44" xfId="0" applyNumberFormat="1" applyFont="1" applyBorder="1" applyAlignment="1">
      <alignment horizontal="right" vertical="center"/>
    </xf>
    <xf numFmtId="164" fontId="6" fillId="9" borderId="0" xfId="0" applyNumberFormat="1" applyFont="1" applyFill="1" applyAlignment="1">
      <alignment horizontal="center" vertical="center"/>
    </xf>
    <xf numFmtId="164" fontId="6" fillId="10" borderId="0" xfId="0" applyNumberFormat="1" applyFont="1" applyFill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50" xfId="0" applyFont="1" applyBorder="1" applyAlignment="1">
      <alignment horizontal="right" vertical="center"/>
    </xf>
    <xf numFmtId="0" fontId="7" fillId="7" borderId="0" xfId="0" applyFont="1" applyFill="1" applyAlignment="1">
      <alignment vertical="center"/>
    </xf>
    <xf numFmtId="0" fontId="20" fillId="0" borderId="0" xfId="0" applyFont="1" applyAlignment="1">
      <alignment wrapText="1"/>
    </xf>
    <xf numFmtId="4" fontId="0" fillId="0" borderId="0" xfId="0" applyNumberFormat="1"/>
    <xf numFmtId="0" fontId="2" fillId="0" borderId="97" xfId="0" applyFont="1" applyBorder="1" applyAlignment="1">
      <alignment horizontal="right" vertical="center"/>
    </xf>
    <xf numFmtId="164" fontId="8" fillId="0" borderId="91" xfId="0" applyNumberFormat="1" applyFont="1" applyBorder="1" applyAlignment="1" applyProtection="1">
      <alignment vertical="top"/>
      <protection locked="0"/>
    </xf>
    <xf numFmtId="4" fontId="6" fillId="0" borderId="27" xfId="0" applyNumberFormat="1" applyFont="1" applyBorder="1" applyAlignment="1">
      <alignment horizontal="right" vertical="center"/>
    </xf>
    <xf numFmtId="164" fontId="0" fillId="0" borderId="0" xfId="0" applyNumberFormat="1" applyProtection="1">
      <protection locked="0"/>
    </xf>
    <xf numFmtId="0" fontId="6" fillId="0" borderId="39" xfId="0" applyFont="1" applyBorder="1" applyAlignment="1">
      <alignment horizontal="left" vertical="center" wrapText="1" indent="1"/>
    </xf>
    <xf numFmtId="0" fontId="6" fillId="0" borderId="42" xfId="0" applyFont="1" applyBorder="1" applyAlignment="1">
      <alignment vertical="center" wrapText="1"/>
    </xf>
    <xf numFmtId="1" fontId="8" fillId="0" borderId="17" xfId="0" applyNumberFormat="1" applyFont="1" applyBorder="1" applyAlignment="1">
      <alignment horizontal="right" vertical="center"/>
    </xf>
    <xf numFmtId="3" fontId="7" fillId="0" borderId="37" xfId="0" applyNumberFormat="1" applyFont="1" applyBorder="1" applyAlignment="1">
      <alignment horizontal="right" vertical="center"/>
    </xf>
    <xf numFmtId="164" fontId="7" fillId="0" borderId="37" xfId="0" applyNumberFormat="1" applyFont="1" applyBorder="1" applyAlignment="1">
      <alignment horizontal="right" vertical="center"/>
    </xf>
    <xf numFmtId="1" fontId="7" fillId="0" borderId="31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7" borderId="0" xfId="0" applyFont="1" applyFill="1" applyAlignment="1">
      <alignment horizontal="right" vertical="center"/>
    </xf>
    <xf numFmtId="3" fontId="7" fillId="0" borderId="32" xfId="0" applyNumberFormat="1" applyFont="1" applyBorder="1" applyAlignment="1">
      <alignment horizontal="right" vertical="center"/>
    </xf>
    <xf numFmtId="3" fontId="7" fillId="0" borderId="22" xfId="0" applyNumberFormat="1" applyFont="1" applyBorder="1" applyAlignment="1">
      <alignment horizontal="right" vertical="center"/>
    </xf>
    <xf numFmtId="3" fontId="7" fillId="0" borderId="38" xfId="0" applyNumberFormat="1" applyFont="1" applyBorder="1" applyAlignment="1">
      <alignment horizontal="right" vertical="center"/>
    </xf>
    <xf numFmtId="164" fontId="7" fillId="0" borderId="32" xfId="0" applyNumberFormat="1" applyFont="1" applyBorder="1" applyAlignment="1">
      <alignment horizontal="right" vertical="center"/>
    </xf>
    <xf numFmtId="164" fontId="7" fillId="0" borderId="35" xfId="0" applyNumberFormat="1" applyFont="1" applyBorder="1" applyAlignment="1">
      <alignment horizontal="right" vertical="center"/>
    </xf>
    <xf numFmtId="10" fontId="7" fillId="0" borderId="32" xfId="1" applyNumberFormat="1" applyFont="1" applyFill="1" applyBorder="1" applyAlignment="1" applyProtection="1">
      <alignment horizontal="right" vertical="center"/>
    </xf>
    <xf numFmtId="0" fontId="7" fillId="0" borderId="37" xfId="0" applyFont="1" applyBorder="1" applyAlignment="1">
      <alignment horizontal="right" vertical="center"/>
    </xf>
    <xf numFmtId="0" fontId="7" fillId="0" borderId="32" xfId="0" applyFont="1" applyBorder="1" applyAlignment="1">
      <alignment horizontal="right" vertical="center"/>
    </xf>
    <xf numFmtId="0" fontId="7" fillId="0" borderId="35" xfId="0" applyFont="1" applyBorder="1" applyAlignment="1">
      <alignment horizontal="right" vertical="center"/>
    </xf>
    <xf numFmtId="3" fontId="7" fillId="7" borderId="0" xfId="0" applyNumberFormat="1" applyFont="1" applyFill="1" applyAlignment="1">
      <alignment horizontal="right" vertical="center"/>
    </xf>
    <xf numFmtId="10" fontId="6" fillId="0" borderId="9" xfId="1" applyNumberFormat="1" applyFont="1" applyBorder="1" applyAlignment="1">
      <alignment horizontal="right" vertical="center"/>
    </xf>
    <xf numFmtId="0" fontId="6" fillId="0" borderId="69" xfId="0" applyFont="1" applyBorder="1" applyAlignment="1">
      <alignment horizontal="right" vertical="center"/>
    </xf>
    <xf numFmtId="10" fontId="6" fillId="0" borderId="69" xfId="0" applyNumberFormat="1" applyFont="1" applyBorder="1" applyAlignment="1">
      <alignment horizontal="right" vertical="center"/>
    </xf>
    <xf numFmtId="1" fontId="6" fillId="0" borderId="20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horizontal="right" vertical="center"/>
    </xf>
    <xf numFmtId="0" fontId="15" fillId="0" borderId="1" xfId="0" applyFont="1" applyBorder="1" applyAlignment="1">
      <alignment horizontal="right" vertical="center"/>
    </xf>
    <xf numFmtId="1" fontId="7" fillId="0" borderId="0" xfId="0" applyNumberFormat="1" applyFont="1" applyAlignment="1">
      <alignment horizontal="right" vertical="center"/>
    </xf>
    <xf numFmtId="8" fontId="6" fillId="0" borderId="0" xfId="0" applyNumberFormat="1" applyFont="1"/>
    <xf numFmtId="4" fontId="19" fillId="0" borderId="1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right" vertical="center"/>
    </xf>
    <xf numFmtId="164" fontId="16" fillId="0" borderId="91" xfId="0" applyNumberFormat="1" applyFont="1" applyBorder="1" applyAlignment="1" applyProtection="1">
      <alignment horizontal="right" vertical="top"/>
      <protection locked="0"/>
    </xf>
    <xf numFmtId="4" fontId="6" fillId="0" borderId="0" xfId="0" applyNumberFormat="1" applyFont="1" applyAlignment="1">
      <alignment horizontal="right" vertical="center"/>
    </xf>
    <xf numFmtId="0" fontId="11" fillId="0" borderId="55" xfId="0" applyFont="1" applyBorder="1" applyAlignment="1">
      <alignment horizontal="right" vertical="center"/>
    </xf>
    <xf numFmtId="0" fontId="11" fillId="0" borderId="41" xfId="0" applyFont="1" applyBorder="1" applyAlignment="1">
      <alignment vertical="center" wrapText="1"/>
    </xf>
    <xf numFmtId="0" fontId="11" fillId="0" borderId="38" xfId="0" applyFont="1" applyBorder="1" applyAlignment="1">
      <alignment horizontal="right" vertical="center"/>
    </xf>
    <xf numFmtId="0" fontId="8" fillId="0" borderId="0" xfId="0" applyFont="1"/>
    <xf numFmtId="0" fontId="23" fillId="0" borderId="0" xfId="0" applyFont="1"/>
    <xf numFmtId="10" fontId="6" fillId="0" borderId="0" xfId="0" applyNumberFormat="1" applyFont="1" applyAlignment="1">
      <alignment horizontal="right" vertical="center"/>
    </xf>
    <xf numFmtId="10" fontId="6" fillId="0" borderId="28" xfId="0" applyNumberFormat="1" applyFont="1" applyBorder="1" applyAlignment="1">
      <alignment horizontal="right" vertical="center" wrapText="1"/>
    </xf>
    <xf numFmtId="10" fontId="8" fillId="0" borderId="0" xfId="0" applyNumberFormat="1" applyFont="1" applyAlignment="1">
      <alignment horizontal="right" vertical="center" wrapText="1"/>
    </xf>
    <xf numFmtId="10" fontId="6" fillId="0" borderId="0" xfId="0" applyNumberFormat="1" applyFont="1" applyAlignment="1">
      <alignment horizontal="right" vertical="center" wrapText="1"/>
    </xf>
    <xf numFmtId="10" fontId="6" fillId="0" borderId="30" xfId="0" applyNumberFormat="1" applyFont="1" applyBorder="1" applyAlignment="1">
      <alignment horizontal="right" vertical="center" wrapText="1"/>
    </xf>
    <xf numFmtId="10" fontId="8" fillId="0" borderId="27" xfId="1" applyNumberFormat="1" applyFont="1" applyBorder="1" applyAlignment="1">
      <alignment horizontal="right" vertical="center" wrapText="1"/>
    </xf>
    <xf numFmtId="10" fontId="7" fillId="7" borderId="0" xfId="0" applyNumberFormat="1" applyFont="1" applyFill="1" applyAlignment="1">
      <alignment horizontal="right" vertical="center"/>
    </xf>
    <xf numFmtId="8" fontId="21" fillId="0" borderId="99" xfId="0" applyNumberFormat="1" applyFont="1" applyBorder="1" applyAlignment="1">
      <alignment vertical="center" wrapText="1"/>
    </xf>
    <xf numFmtId="8" fontId="26" fillId="0" borderId="99" xfId="0" applyNumberFormat="1" applyFont="1" applyBorder="1" applyAlignment="1">
      <alignment vertical="center" wrapText="1"/>
    </xf>
    <xf numFmtId="10" fontId="0" fillId="0" borderId="1" xfId="1" applyNumberFormat="1" applyFont="1" applyBorder="1" applyAlignment="1">
      <alignment horizontal="right" indent="1"/>
    </xf>
    <xf numFmtId="10" fontId="0" fillId="14" borderId="1" xfId="1" applyNumberFormat="1" applyFont="1" applyFill="1" applyBorder="1" applyAlignment="1">
      <alignment horizontal="right" indent="1"/>
    </xf>
    <xf numFmtId="8" fontId="6" fillId="0" borderId="0" xfId="2" applyNumberFormat="1" applyFont="1" applyAlignment="1">
      <alignment horizontal="right" vertical="center"/>
    </xf>
    <xf numFmtId="169" fontId="21" fillId="15" borderId="100" xfId="0" applyNumberFormat="1" applyFont="1" applyFill="1" applyBorder="1" applyAlignment="1">
      <alignment horizontal="right" vertical="center"/>
    </xf>
    <xf numFmtId="166" fontId="8" fillId="0" borderId="69" xfId="0" applyNumberFormat="1" applyFont="1" applyBorder="1" applyAlignment="1">
      <alignment horizontal="right" vertical="center"/>
    </xf>
    <xf numFmtId="8" fontId="6" fillId="0" borderId="0" xfId="0" applyNumberFormat="1" applyFont="1" applyAlignment="1">
      <alignment vertical="center"/>
    </xf>
    <xf numFmtId="6" fontId="27" fillId="0" borderId="0" xfId="0" applyNumberFormat="1" applyFont="1" applyAlignment="1">
      <alignment horizontal="center" vertical="center" wrapText="1"/>
    </xf>
    <xf numFmtId="3" fontId="24" fillId="0" borderId="0" xfId="0" applyNumberFormat="1" applyFont="1"/>
    <xf numFmtId="169" fontId="28" fillId="16" borderId="100" xfId="0" applyNumberFormat="1" applyFont="1" applyFill="1" applyBorder="1" applyAlignment="1">
      <alignment horizontal="right" vertical="center"/>
    </xf>
    <xf numFmtId="0" fontId="9" fillId="4" borderId="4" xfId="0" applyFont="1" applyFill="1" applyBorder="1" applyAlignment="1">
      <alignment vertical="center"/>
    </xf>
    <xf numFmtId="0" fontId="7" fillId="12" borderId="0" xfId="0" applyFont="1" applyFill="1" applyAlignment="1">
      <alignment horizontal="right" vertical="center"/>
    </xf>
    <xf numFmtId="10" fontId="21" fillId="0" borderId="0" xfId="0" applyNumberFormat="1" applyFont="1"/>
    <xf numFmtId="9" fontId="6" fillId="0" borderId="0" xfId="0" applyNumberFormat="1" applyFont="1" applyAlignment="1">
      <alignment horizontal="right" vertical="center"/>
    </xf>
    <xf numFmtId="9" fontId="6" fillId="0" borderId="0" xfId="1" applyFont="1" applyAlignment="1">
      <alignment horizontal="right" vertical="center"/>
    </xf>
    <xf numFmtId="169" fontId="21" fillId="16" borderId="100" xfId="0" applyNumberFormat="1" applyFont="1" applyFill="1" applyBorder="1" applyAlignment="1">
      <alignment horizontal="right" vertical="center"/>
    </xf>
    <xf numFmtId="0" fontId="2" fillId="14" borderId="97" xfId="0" applyFont="1" applyFill="1" applyBorder="1" applyAlignment="1">
      <alignment horizontal="right" vertical="center"/>
    </xf>
    <xf numFmtId="0" fontId="6" fillId="14" borderId="26" xfId="0" applyFont="1" applyFill="1" applyBorder="1" applyAlignment="1">
      <alignment horizontal="right" vertical="center"/>
    </xf>
    <xf numFmtId="9" fontId="7" fillId="7" borderId="37" xfId="1" applyFont="1" applyFill="1" applyBorder="1" applyAlignment="1">
      <alignment horizontal="right" vertical="center"/>
    </xf>
    <xf numFmtId="3" fontId="24" fillId="0" borderId="0" xfId="0" applyNumberFormat="1" applyFont="1" applyAlignment="1">
      <alignment vertical="center"/>
    </xf>
    <xf numFmtId="0" fontId="29" fillId="17" borderId="99" xfId="0" applyFont="1" applyFill="1" applyBorder="1"/>
    <xf numFmtId="0" fontId="29" fillId="17" borderId="99" xfId="0" applyFont="1" applyFill="1" applyBorder="1" applyAlignment="1">
      <alignment wrapText="1"/>
    </xf>
    <xf numFmtId="10" fontId="0" fillId="0" borderId="1" xfId="0" applyNumberFormat="1" applyBorder="1" applyAlignment="1">
      <alignment horizontal="center"/>
    </xf>
    <xf numFmtId="10" fontId="7" fillId="2" borderId="0" xfId="0" applyNumberFormat="1" applyFont="1" applyFill="1" applyAlignment="1">
      <alignment horizontal="right" vertical="center"/>
    </xf>
    <xf numFmtId="0" fontId="9" fillId="14" borderId="20" xfId="0" applyFont="1" applyFill="1" applyBorder="1" applyAlignment="1">
      <alignment vertical="center"/>
    </xf>
    <xf numFmtId="0" fontId="9" fillId="14" borderId="19" xfId="0" applyFont="1" applyFill="1" applyBorder="1" applyAlignment="1">
      <alignment vertical="center"/>
    </xf>
    <xf numFmtId="0" fontId="9" fillId="13" borderId="85" xfId="0" applyFont="1" applyFill="1" applyBorder="1" applyAlignment="1">
      <alignment vertical="center"/>
    </xf>
    <xf numFmtId="0" fontId="6" fillId="0" borderId="29" xfId="0" applyFont="1" applyBorder="1" applyAlignment="1">
      <alignment horizontal="left" vertical="center" indent="1"/>
    </xf>
    <xf numFmtId="0" fontId="9" fillId="14" borderId="60" xfId="0" applyFont="1" applyFill="1" applyBorder="1" applyAlignment="1">
      <alignment vertical="center"/>
    </xf>
    <xf numFmtId="0" fontId="9" fillId="14" borderId="59" xfId="0" applyFont="1" applyFill="1" applyBorder="1" applyAlignment="1">
      <alignment vertical="center"/>
    </xf>
    <xf numFmtId="10" fontId="6" fillId="0" borderId="69" xfId="1" applyNumberFormat="1" applyFont="1" applyBorder="1" applyAlignment="1">
      <alignment horizontal="right" vertical="center"/>
    </xf>
    <xf numFmtId="8" fontId="30" fillId="0" borderId="101" xfId="0" applyNumberFormat="1" applyFont="1" applyBorder="1" applyAlignment="1">
      <alignment horizontal="right" vertical="center" wrapText="1"/>
    </xf>
    <xf numFmtId="0" fontId="6" fillId="0" borderId="0" xfId="0" applyFont="1" applyAlignment="1">
      <alignment wrapText="1"/>
    </xf>
    <xf numFmtId="0" fontId="6" fillId="0" borderId="102" xfId="0" applyFont="1" applyBorder="1" applyAlignment="1">
      <alignment horizontal="left" vertical="center" wrapText="1"/>
    </xf>
    <xf numFmtId="0" fontId="6" fillId="0" borderId="103" xfId="0" applyFont="1" applyBorder="1" applyAlignment="1">
      <alignment horizontal="left" vertical="center" wrapText="1"/>
    </xf>
    <xf numFmtId="0" fontId="6" fillId="0" borderId="104" xfId="0" applyFont="1" applyBorder="1" applyAlignment="1">
      <alignment horizontal="left" vertical="center"/>
    </xf>
    <xf numFmtId="9" fontId="6" fillId="0" borderId="24" xfId="1" applyFont="1" applyBorder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8" fontId="30" fillId="0" borderId="105" xfId="0" applyNumberFormat="1" applyFont="1" applyBorder="1" applyAlignment="1">
      <alignment horizontal="right" vertical="center" wrapText="1"/>
    </xf>
    <xf numFmtId="8" fontId="6" fillId="0" borderId="0" xfId="0" applyNumberFormat="1" applyFont="1" applyAlignment="1">
      <alignment horizontal="right" vertical="center"/>
    </xf>
    <xf numFmtId="0" fontId="6" fillId="0" borderId="60" xfId="0" applyFont="1" applyBorder="1" applyAlignment="1">
      <alignment horizontal="right" vertical="center"/>
    </xf>
    <xf numFmtId="0" fontId="6" fillId="0" borderId="61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6" fillId="14" borderId="60" xfId="0" applyFont="1" applyFill="1" applyBorder="1" applyAlignment="1">
      <alignment vertical="center"/>
    </xf>
    <xf numFmtId="0" fontId="6" fillId="14" borderId="20" xfId="0" applyFont="1" applyFill="1" applyBorder="1" applyAlignment="1">
      <alignment vertical="center"/>
    </xf>
    <xf numFmtId="0" fontId="6" fillId="14" borderId="61" xfId="0" applyFont="1" applyFill="1" applyBorder="1" applyAlignment="1">
      <alignment vertical="center"/>
    </xf>
    <xf numFmtId="0" fontId="6" fillId="14" borderId="21" xfId="0" applyFont="1" applyFill="1" applyBorder="1" applyAlignment="1">
      <alignment vertical="center"/>
    </xf>
    <xf numFmtId="0" fontId="9" fillId="6" borderId="3" xfId="0" applyFont="1" applyFill="1" applyBorder="1" applyAlignment="1">
      <alignment vertical="center"/>
    </xf>
    <xf numFmtId="0" fontId="9" fillId="6" borderId="4" xfId="0" applyFont="1" applyFill="1" applyBorder="1" applyAlignment="1">
      <alignment vertical="center"/>
    </xf>
    <xf numFmtId="0" fontId="9" fillId="6" borderId="5" xfId="0" applyFont="1" applyFill="1" applyBorder="1" applyAlignment="1">
      <alignment vertical="center"/>
    </xf>
    <xf numFmtId="0" fontId="9" fillId="10" borderId="3" xfId="0" applyFont="1" applyFill="1" applyBorder="1" applyAlignment="1">
      <alignment vertical="center"/>
    </xf>
    <xf numFmtId="0" fontId="9" fillId="10" borderId="4" xfId="0" applyFont="1" applyFill="1" applyBorder="1" applyAlignment="1">
      <alignment vertical="center"/>
    </xf>
    <xf numFmtId="0" fontId="9" fillId="10" borderId="5" xfId="0" applyFont="1" applyFill="1" applyBorder="1" applyAlignment="1">
      <alignment vertical="center"/>
    </xf>
    <xf numFmtId="0" fontId="9" fillId="5" borderId="3" xfId="0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0" fontId="9" fillId="5" borderId="5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5" borderId="12" xfId="0" applyFont="1" applyFill="1" applyBorder="1" applyAlignment="1">
      <alignment vertical="center"/>
    </xf>
    <xf numFmtId="0" fontId="9" fillId="5" borderId="13" xfId="0" applyFont="1" applyFill="1" applyBorder="1" applyAlignment="1">
      <alignment vertical="center"/>
    </xf>
    <xf numFmtId="0" fontId="9" fillId="5" borderId="14" xfId="0" applyFont="1" applyFill="1" applyBorder="1" applyAlignment="1">
      <alignment vertical="center"/>
    </xf>
    <xf numFmtId="0" fontId="9" fillId="4" borderId="7" xfId="0" applyFont="1" applyFill="1" applyBorder="1" applyAlignment="1">
      <alignment vertical="center"/>
    </xf>
    <xf numFmtId="0" fontId="9" fillId="4" borderId="66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0" fontId="9" fillId="4" borderId="3" xfId="0" applyFont="1" applyFill="1" applyBorder="1" applyAlignment="1">
      <alignment vertical="center"/>
    </xf>
    <xf numFmtId="0" fontId="9" fillId="4" borderId="5" xfId="0" applyFont="1" applyFill="1" applyBorder="1" applyAlignment="1">
      <alignment vertical="center"/>
    </xf>
    <xf numFmtId="0" fontId="9" fillId="6" borderId="12" xfId="0" applyFont="1" applyFill="1" applyBorder="1" applyAlignment="1">
      <alignment vertical="center"/>
    </xf>
    <xf numFmtId="0" fontId="9" fillId="6" borderId="0" xfId="0" applyFont="1" applyFill="1" applyAlignment="1">
      <alignment vertical="center"/>
    </xf>
    <xf numFmtId="0" fontId="9" fillId="6" borderId="13" xfId="0" applyFont="1" applyFill="1" applyBorder="1" applyAlignment="1">
      <alignment vertical="center"/>
    </xf>
    <xf numFmtId="0" fontId="9" fillId="6" borderId="14" xfId="0" applyFont="1" applyFill="1" applyBorder="1" applyAlignment="1">
      <alignment vertical="center"/>
    </xf>
    <xf numFmtId="0" fontId="9" fillId="5" borderId="7" xfId="0" applyFont="1" applyFill="1" applyBorder="1" applyAlignment="1">
      <alignment vertical="center"/>
    </xf>
    <xf numFmtId="0" fontId="9" fillId="5" borderId="66" xfId="0" applyFont="1" applyFill="1" applyBorder="1" applyAlignment="1">
      <alignment vertical="center"/>
    </xf>
    <xf numFmtId="0" fontId="9" fillId="5" borderId="6" xfId="0" applyFont="1" applyFill="1" applyBorder="1" applyAlignment="1">
      <alignment vertical="center"/>
    </xf>
    <xf numFmtId="0" fontId="10" fillId="5" borderId="7" xfId="0" applyFont="1" applyFill="1" applyBorder="1" applyAlignment="1">
      <alignment vertical="center"/>
    </xf>
    <xf numFmtId="0" fontId="10" fillId="5" borderId="66" xfId="0" applyFont="1" applyFill="1" applyBorder="1" applyAlignment="1">
      <alignment vertical="center"/>
    </xf>
    <xf numFmtId="0" fontId="10" fillId="5" borderId="6" xfId="0" applyFont="1" applyFill="1" applyBorder="1" applyAlignment="1">
      <alignment vertical="center"/>
    </xf>
    <xf numFmtId="0" fontId="9" fillId="4" borderId="3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13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left" vertical="center"/>
    </xf>
    <xf numFmtId="0" fontId="14" fillId="4" borderId="12" xfId="0" applyFont="1" applyFill="1" applyBorder="1" applyAlignment="1">
      <alignment horizontal="left" vertical="center"/>
    </xf>
    <xf numFmtId="0" fontId="14" fillId="4" borderId="13" xfId="0" applyFont="1" applyFill="1" applyBorder="1" applyAlignment="1">
      <alignment horizontal="left" vertical="center"/>
    </xf>
    <xf numFmtId="0" fontId="14" fillId="4" borderId="14" xfId="0" applyFont="1" applyFill="1" applyBorder="1" applyAlignment="1">
      <alignment horizontal="left" vertical="center"/>
    </xf>
    <xf numFmtId="0" fontId="6" fillId="8" borderId="48" xfId="0" applyFont="1" applyFill="1" applyBorder="1" applyAlignment="1">
      <alignment horizontal="right" vertical="center"/>
    </xf>
    <xf numFmtId="0" fontId="6" fillId="8" borderId="41" xfId="0" applyFont="1" applyFill="1" applyBorder="1" applyAlignment="1">
      <alignment horizontal="right" vertical="center"/>
    </xf>
    <xf numFmtId="0" fontId="9" fillId="5" borderId="29" xfId="0" applyFont="1" applyFill="1" applyBorder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9" fillId="5" borderId="30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9" fillId="4" borderId="7" xfId="0" applyFont="1" applyFill="1" applyBorder="1" applyAlignment="1">
      <alignment horizontal="left" vertical="center"/>
    </xf>
    <xf numFmtId="0" fontId="9" fillId="4" borderId="66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7" fillId="8" borderId="38" xfId="0" applyFont="1" applyFill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0" fontId="31" fillId="2" borderId="0" xfId="0" applyNumberFormat="1" applyFont="1" applyFill="1" applyAlignment="1">
      <alignment horizontal="right" vertical="center"/>
    </xf>
    <xf numFmtId="0" fontId="7" fillId="8" borderId="57" xfId="0" applyFont="1" applyFill="1" applyBorder="1" applyAlignment="1">
      <alignment horizontal="right" vertical="center"/>
    </xf>
    <xf numFmtId="0" fontId="32" fillId="12" borderId="58" xfId="0" applyFont="1" applyFill="1" applyBorder="1" applyAlignment="1">
      <alignment horizontal="right" vertical="center"/>
    </xf>
    <xf numFmtId="0" fontId="32" fillId="12" borderId="9" xfId="0" applyFont="1" applyFill="1" applyBorder="1" applyAlignment="1">
      <alignment horizontal="right" vertical="center"/>
    </xf>
    <xf numFmtId="0" fontId="33" fillId="13" borderId="58" xfId="0" applyFont="1" applyFill="1" applyBorder="1" applyAlignment="1">
      <alignment horizontal="right" vertical="center"/>
    </xf>
    <xf numFmtId="0" fontId="33" fillId="13" borderId="38" xfId="0" applyFont="1" applyFill="1" applyBorder="1" applyAlignment="1">
      <alignment horizontal="right" vertical="center"/>
    </xf>
    <xf numFmtId="0" fontId="33" fillId="13" borderId="85" xfId="0" applyFont="1" applyFill="1" applyBorder="1" applyAlignment="1">
      <alignment horizontal="right" vertical="center"/>
    </xf>
    <xf numFmtId="0" fontId="34" fillId="0" borderId="38" xfId="0" applyFont="1" applyBorder="1" applyAlignment="1">
      <alignment horizontal="right" vertical="center"/>
    </xf>
    <xf numFmtId="0" fontId="33" fillId="8" borderId="57" xfId="0" applyFont="1" applyFill="1" applyBorder="1" applyAlignment="1">
      <alignment horizontal="right" vertical="center"/>
    </xf>
    <xf numFmtId="0" fontId="33" fillId="8" borderId="55" xfId="0" applyFont="1" applyFill="1" applyBorder="1" applyAlignment="1">
      <alignment horizontal="right" vertical="center"/>
    </xf>
    <xf numFmtId="3" fontId="33" fillId="8" borderId="38" xfId="0" applyNumberFormat="1" applyFont="1" applyFill="1" applyBorder="1" applyAlignment="1">
      <alignment horizontal="right" vertical="center"/>
    </xf>
    <xf numFmtId="0" fontId="33" fillId="8" borderId="38" xfId="0" applyFont="1" applyFill="1" applyBorder="1" applyAlignment="1">
      <alignment horizontal="right" vertical="center"/>
    </xf>
  </cellXfs>
  <cellStyles count="4">
    <cellStyle name="Comma" xfId="3" builtinId="3"/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19EF9-5250-4CFE-81AE-44A2A2F145B4}">
  <sheetPr>
    <pageSetUpPr fitToPage="1"/>
  </sheetPr>
  <dimension ref="A1:AD193"/>
  <sheetViews>
    <sheetView topLeftCell="B30" zoomScale="110" zoomScaleNormal="110" workbookViewId="0">
      <pane xSplit="7" topLeftCell="I1" activePane="topRight" state="frozen"/>
      <selection activeCell="B1" sqref="B1"/>
      <selection pane="topRight" activeCell="B43" sqref="B43:U43"/>
    </sheetView>
  </sheetViews>
  <sheetFormatPr defaultColWidth="8.81640625" defaultRowHeight="13" x14ac:dyDescent="0.35"/>
  <cols>
    <col min="1" max="1" width="9.1796875" style="14" hidden="1" customWidth="1"/>
    <col min="2" max="2" width="68.54296875" style="14" customWidth="1"/>
    <col min="3" max="3" width="32.81640625" style="14" hidden="1" customWidth="1"/>
    <col min="4" max="4" width="88.54296875" style="284" hidden="1" customWidth="1"/>
    <col min="5" max="5" width="79.1796875" style="138" hidden="1" customWidth="1"/>
    <col min="6" max="6" width="88.54296875" style="138" hidden="1" customWidth="1"/>
    <col min="7" max="7" width="0.1796875" style="124" hidden="1" customWidth="1"/>
    <col min="8" max="8" width="12.1796875" style="124" hidden="1" customWidth="1"/>
    <col min="9" max="9" width="15.81640625" style="124" customWidth="1"/>
    <col min="10" max="10" width="15.81640625" style="138" customWidth="1"/>
    <col min="11" max="14" width="19.54296875" style="138" customWidth="1"/>
    <col min="15" max="15" width="19.54296875" style="326" customWidth="1"/>
    <col min="16" max="21" width="19.54296875" style="138" customWidth="1"/>
    <col min="22" max="22" width="19.54296875" style="14" customWidth="1"/>
    <col min="23" max="16384" width="8.81640625" style="14"/>
  </cols>
  <sheetData>
    <row r="1" spans="1:23" s="199" customFormat="1" ht="28.5" customHeight="1" x14ac:dyDescent="0.35">
      <c r="A1" s="200"/>
      <c r="B1" s="201"/>
      <c r="C1" s="201"/>
      <c r="D1" s="295"/>
      <c r="E1" s="202" t="s">
        <v>220</v>
      </c>
      <c r="F1" s="203" t="s">
        <v>227</v>
      </c>
      <c r="G1" s="204" t="s">
        <v>232</v>
      </c>
      <c r="H1" s="204" t="s">
        <v>239</v>
      </c>
      <c r="I1" s="204" t="s">
        <v>283</v>
      </c>
      <c r="J1" s="205" t="s">
        <v>1</v>
      </c>
      <c r="K1" s="202" t="s">
        <v>2</v>
      </c>
      <c r="L1" s="202" t="s">
        <v>3</v>
      </c>
      <c r="M1" s="202" t="s">
        <v>4</v>
      </c>
      <c r="N1" s="202" t="s">
        <v>5</v>
      </c>
      <c r="O1" s="357" t="s">
        <v>6</v>
      </c>
      <c r="P1" s="202" t="s">
        <v>7</v>
      </c>
      <c r="Q1" s="202" t="s">
        <v>8</v>
      </c>
      <c r="R1" s="202" t="s">
        <v>9</v>
      </c>
      <c r="S1" s="202" t="s">
        <v>10</v>
      </c>
      <c r="T1" s="202" t="s">
        <v>11</v>
      </c>
      <c r="U1" s="202" t="s">
        <v>12</v>
      </c>
    </row>
    <row r="2" spans="1:23" s="126" customFormat="1" ht="16" customHeight="1" x14ac:dyDescent="0.35">
      <c r="A2" s="125"/>
      <c r="B2" s="498" t="s">
        <v>101</v>
      </c>
      <c r="C2" s="500"/>
      <c r="D2" s="500"/>
      <c r="E2" s="500"/>
      <c r="F2" s="500"/>
      <c r="G2" s="500"/>
      <c r="H2" s="500"/>
      <c r="I2" s="500"/>
      <c r="J2" s="500"/>
      <c r="K2" s="500"/>
      <c r="L2" s="500"/>
      <c r="M2" s="500"/>
      <c r="N2" s="500"/>
      <c r="O2" s="500"/>
      <c r="P2" s="500"/>
      <c r="Q2" s="500"/>
      <c r="R2" s="500"/>
      <c r="S2" s="500"/>
      <c r="T2" s="500"/>
      <c r="U2" s="501"/>
    </row>
    <row r="3" spans="1:23" s="126" customFormat="1" ht="16" customHeight="1" x14ac:dyDescent="0.35">
      <c r="A3" s="125"/>
      <c r="B3" s="517"/>
      <c r="C3" s="518"/>
      <c r="D3" s="518"/>
      <c r="E3" s="518"/>
      <c r="F3" s="518"/>
      <c r="G3" s="518"/>
      <c r="H3" s="518"/>
      <c r="I3" s="518"/>
      <c r="J3" s="518"/>
      <c r="K3" s="518"/>
      <c r="L3" s="518"/>
      <c r="M3" s="518"/>
      <c r="N3" s="518"/>
      <c r="O3" s="518"/>
      <c r="P3" s="518"/>
      <c r="Q3" s="518"/>
      <c r="R3" s="518"/>
      <c r="S3" s="518"/>
      <c r="T3" s="518"/>
      <c r="U3" s="519"/>
    </row>
    <row r="4" spans="1:23" s="126" customFormat="1" ht="13" customHeight="1" x14ac:dyDescent="0.35">
      <c r="A4" s="125"/>
      <c r="B4" s="522" t="s">
        <v>13</v>
      </c>
      <c r="C4" s="523"/>
      <c r="D4" s="523"/>
      <c r="E4" s="523"/>
      <c r="F4" s="523"/>
      <c r="G4" s="523"/>
      <c r="H4" s="523"/>
      <c r="I4" s="523"/>
      <c r="J4" s="523"/>
      <c r="K4" s="523"/>
      <c r="L4" s="523"/>
      <c r="M4" s="523"/>
      <c r="N4" s="523"/>
      <c r="O4" s="523"/>
      <c r="P4" s="523"/>
      <c r="Q4" s="523"/>
      <c r="R4" s="523"/>
      <c r="S4" s="523"/>
      <c r="T4" s="523"/>
      <c r="U4" s="524"/>
    </row>
    <row r="5" spans="1:23" ht="30" customHeight="1" x14ac:dyDescent="0.35">
      <c r="A5" s="12"/>
      <c r="B5" s="5" t="s">
        <v>118</v>
      </c>
      <c r="C5" s="306" t="s">
        <v>211</v>
      </c>
      <c r="D5" s="280"/>
      <c r="E5" s="124">
        <v>3067</v>
      </c>
      <c r="F5" s="124">
        <v>3153</v>
      </c>
      <c r="G5" s="391">
        <v>2758</v>
      </c>
      <c r="H5" s="6">
        <f t="shared" ref="H5:H11" si="0">SUM(K5:V5)</f>
        <v>2426</v>
      </c>
      <c r="I5" s="6">
        <f t="shared" ref="I5:I10" si="1">SUM(J5:U5)</f>
        <v>2636</v>
      </c>
      <c r="J5" s="7">
        <v>210</v>
      </c>
      <c r="K5" s="8">
        <v>221</v>
      </c>
      <c r="L5" s="8">
        <v>189</v>
      </c>
      <c r="M5" s="8">
        <v>259</v>
      </c>
      <c r="N5" s="8">
        <v>190</v>
      </c>
      <c r="O5" s="8">
        <v>177</v>
      </c>
      <c r="P5" s="8">
        <v>222</v>
      </c>
      <c r="Q5" s="8">
        <v>258</v>
      </c>
      <c r="R5" s="8">
        <v>247</v>
      </c>
      <c r="S5" s="8">
        <v>246</v>
      </c>
      <c r="T5" s="8">
        <v>215</v>
      </c>
      <c r="U5" s="9">
        <v>202</v>
      </c>
    </row>
    <row r="6" spans="1:23" ht="17.25" customHeight="1" x14ac:dyDescent="0.35">
      <c r="A6" s="12"/>
      <c r="B6" s="10" t="s">
        <v>100</v>
      </c>
      <c r="C6" s="306" t="s">
        <v>211</v>
      </c>
      <c r="D6" s="281"/>
      <c r="E6" s="124">
        <v>1429</v>
      </c>
      <c r="F6" s="124">
        <v>1390</v>
      </c>
      <c r="G6" s="391">
        <v>1459</v>
      </c>
      <c r="H6" s="6">
        <f t="shared" si="0"/>
        <v>1867</v>
      </c>
      <c r="I6" s="6">
        <f t="shared" si="1"/>
        <v>2012</v>
      </c>
      <c r="J6" s="7">
        <v>145</v>
      </c>
      <c r="K6" s="8">
        <v>139</v>
      </c>
      <c r="L6" s="8">
        <v>269</v>
      </c>
      <c r="M6" s="8">
        <v>200</v>
      </c>
      <c r="N6" s="8">
        <v>134</v>
      </c>
      <c r="O6" s="8">
        <v>136</v>
      </c>
      <c r="P6" s="8">
        <v>170</v>
      </c>
      <c r="Q6" s="8">
        <v>186</v>
      </c>
      <c r="R6" s="8">
        <f>43+R8+R10</f>
        <v>188</v>
      </c>
      <c r="S6" s="8">
        <f>22+S8+S10</f>
        <v>154</v>
      </c>
      <c r="T6" s="8">
        <v>147</v>
      </c>
      <c r="U6" s="9">
        <v>144</v>
      </c>
    </row>
    <row r="7" spans="1:23" ht="15.75" hidden="1" customHeight="1" x14ac:dyDescent="0.35">
      <c r="A7" s="12"/>
      <c r="B7" s="18" t="s">
        <v>119</v>
      </c>
      <c r="C7" s="306" t="s">
        <v>211</v>
      </c>
      <c r="D7" s="282"/>
      <c r="E7" s="124">
        <v>3905</v>
      </c>
      <c r="F7" s="124">
        <v>5404</v>
      </c>
      <c r="G7" s="391">
        <v>3641</v>
      </c>
      <c r="H7" s="6">
        <f t="shared" si="0"/>
        <v>0</v>
      </c>
      <c r="I7" s="6">
        <f t="shared" si="1"/>
        <v>0</v>
      </c>
      <c r="J7" s="7"/>
      <c r="K7" s="8"/>
      <c r="M7" s="8"/>
      <c r="N7" s="8"/>
      <c r="O7" s="8"/>
      <c r="P7" s="8"/>
      <c r="Q7" s="8"/>
      <c r="R7" s="8"/>
      <c r="S7" s="8"/>
      <c r="T7" s="8"/>
      <c r="U7" s="9"/>
    </row>
    <row r="8" spans="1:23" ht="28" customHeight="1" x14ac:dyDescent="0.35">
      <c r="A8" s="12"/>
      <c r="B8" s="5" t="s">
        <v>120</v>
      </c>
      <c r="C8" s="306" t="s">
        <v>211</v>
      </c>
      <c r="D8" s="280"/>
      <c r="E8" s="124">
        <v>205</v>
      </c>
      <c r="F8" s="124">
        <v>295</v>
      </c>
      <c r="G8" s="391">
        <v>400</v>
      </c>
      <c r="H8" s="6">
        <f t="shared" si="0"/>
        <v>425</v>
      </c>
      <c r="I8" s="6">
        <f t="shared" si="1"/>
        <v>451</v>
      </c>
      <c r="J8" s="7">
        <v>26</v>
      </c>
      <c r="K8" s="8">
        <v>34</v>
      </c>
      <c r="L8" s="138">
        <v>27</v>
      </c>
      <c r="M8" s="8">
        <v>43</v>
      </c>
      <c r="N8" s="8">
        <v>42</v>
      </c>
      <c r="O8" s="8">
        <v>37</v>
      </c>
      <c r="P8" s="8" t="s">
        <v>41</v>
      </c>
      <c r="Q8" s="8">
        <v>52</v>
      </c>
      <c r="R8" s="8">
        <v>49</v>
      </c>
      <c r="S8" s="8">
        <v>60</v>
      </c>
      <c r="T8" s="8">
        <v>34</v>
      </c>
      <c r="U8" s="9">
        <v>47</v>
      </c>
    </row>
    <row r="9" spans="1:23" ht="1.5" hidden="1" customHeight="1" x14ac:dyDescent="0.35">
      <c r="A9" s="12"/>
      <c r="B9" s="191" t="s">
        <v>111</v>
      </c>
      <c r="C9" s="306" t="s">
        <v>211</v>
      </c>
      <c r="D9" s="283"/>
      <c r="E9" s="124">
        <v>0</v>
      </c>
      <c r="F9" s="124">
        <v>0</v>
      </c>
      <c r="G9" s="391">
        <v>0</v>
      </c>
      <c r="H9" s="6">
        <f t="shared" si="0"/>
        <v>0</v>
      </c>
      <c r="I9" s="6">
        <f t="shared" si="1"/>
        <v>0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spans="1:23" ht="23.5" customHeight="1" x14ac:dyDescent="0.35">
      <c r="A10" s="12"/>
      <c r="B10" s="18" t="s">
        <v>121</v>
      </c>
      <c r="C10" s="306" t="s">
        <v>211</v>
      </c>
      <c r="D10" s="282"/>
      <c r="E10" s="124">
        <v>1188</v>
      </c>
      <c r="F10" s="124">
        <v>1107</v>
      </c>
      <c r="G10" s="391">
        <v>1057</v>
      </c>
      <c r="H10" s="6">
        <f t="shared" si="0"/>
        <v>888</v>
      </c>
      <c r="I10" s="6">
        <f t="shared" si="1"/>
        <v>989</v>
      </c>
      <c r="J10" s="7">
        <v>101</v>
      </c>
      <c r="K10" s="8">
        <v>87</v>
      </c>
      <c r="L10" s="8">
        <v>98</v>
      </c>
      <c r="M10" s="8">
        <v>122</v>
      </c>
      <c r="N10" s="8">
        <v>71</v>
      </c>
      <c r="O10" s="8">
        <v>76</v>
      </c>
      <c r="P10" s="8" t="s">
        <v>41</v>
      </c>
      <c r="Q10" s="8">
        <v>99</v>
      </c>
      <c r="R10" s="8">
        <v>96</v>
      </c>
      <c r="S10" s="8">
        <v>72</v>
      </c>
      <c r="T10" s="8">
        <v>86</v>
      </c>
      <c r="U10" s="9">
        <v>81</v>
      </c>
    </row>
    <row r="11" spans="1:23" ht="2.5" hidden="1" customHeight="1" x14ac:dyDescent="0.35">
      <c r="A11" s="12"/>
      <c r="B11" s="192" t="s">
        <v>112</v>
      </c>
      <c r="C11" s="306" t="s">
        <v>211</v>
      </c>
      <c r="D11" s="281"/>
      <c r="E11" s="124">
        <v>0</v>
      </c>
      <c r="F11" s="124">
        <v>0</v>
      </c>
      <c r="G11" s="391">
        <f>SUM(J11:U11)</f>
        <v>0</v>
      </c>
      <c r="H11" s="6">
        <f t="shared" si="0"/>
        <v>0</v>
      </c>
      <c r="I11" s="6">
        <f>SUM(L11:W11)</f>
        <v>0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W11" s="328"/>
    </row>
    <row r="12" spans="1:23" ht="15" hidden="1" customHeight="1" x14ac:dyDescent="0.35">
      <c r="A12" s="12"/>
      <c r="B12" s="508" t="s">
        <v>14</v>
      </c>
      <c r="C12" s="509"/>
      <c r="D12" s="509"/>
      <c r="E12" s="520"/>
      <c r="F12" s="520"/>
      <c r="G12" s="520"/>
      <c r="H12" s="520"/>
      <c r="I12" s="520"/>
      <c r="J12" s="520"/>
      <c r="K12" s="520"/>
      <c r="L12" s="520"/>
      <c r="M12" s="520"/>
      <c r="N12" s="520"/>
      <c r="O12" s="520"/>
      <c r="P12" s="520"/>
      <c r="Q12" s="520"/>
      <c r="R12" s="520"/>
      <c r="S12" s="520"/>
      <c r="T12" s="520"/>
      <c r="U12" s="521"/>
      <c r="W12" s="328"/>
    </row>
    <row r="13" spans="1:23" ht="12.75" hidden="1" customHeight="1" x14ac:dyDescent="0.35">
      <c r="A13" s="12"/>
      <c r="B13" s="206" t="s">
        <v>196</v>
      </c>
      <c r="C13" s="181"/>
      <c r="E13" s="207"/>
      <c r="F13" s="208"/>
      <c r="G13" s="214"/>
      <c r="H13" s="214"/>
      <c r="I13" s="214"/>
      <c r="J13" s="209"/>
      <c r="K13" s="8"/>
      <c r="L13" s="8"/>
      <c r="M13" s="8"/>
      <c r="N13" s="8"/>
      <c r="O13" s="268"/>
      <c r="P13" s="8"/>
      <c r="Q13" s="8"/>
      <c r="R13" s="8"/>
      <c r="S13" s="8"/>
      <c r="T13" s="8"/>
      <c r="U13" s="9"/>
      <c r="W13" s="328"/>
    </row>
    <row r="14" spans="1:23" ht="12.75" hidden="1" customHeight="1" x14ac:dyDescent="0.35">
      <c r="A14" s="12"/>
      <c r="B14" s="213" t="s">
        <v>15</v>
      </c>
      <c r="C14" s="311"/>
      <c r="E14" s="207"/>
      <c r="F14" s="208"/>
      <c r="G14" s="215"/>
      <c r="H14" s="215"/>
      <c r="I14" s="215"/>
      <c r="J14" s="7"/>
      <c r="K14" s="8">
        <v>117</v>
      </c>
      <c r="L14" s="8"/>
      <c r="M14" s="8"/>
      <c r="N14" s="8"/>
      <c r="O14" s="268"/>
      <c r="P14" s="8"/>
      <c r="Q14" s="8"/>
      <c r="R14" s="8"/>
      <c r="S14" s="8"/>
      <c r="T14" s="8"/>
      <c r="U14" s="9"/>
      <c r="W14" s="328"/>
    </row>
    <row r="15" spans="1:23" hidden="1" x14ac:dyDescent="0.35">
      <c r="A15" s="12"/>
      <c r="B15" s="213" t="s">
        <v>16</v>
      </c>
      <c r="C15" s="311"/>
      <c r="E15" s="207"/>
      <c r="F15" s="208"/>
      <c r="G15" s="210"/>
      <c r="H15" s="210"/>
      <c r="I15" s="210"/>
      <c r="J15" s="7"/>
      <c r="K15" s="8">
        <v>93</v>
      </c>
      <c r="L15" s="8"/>
      <c r="M15" s="8"/>
      <c r="N15" s="8"/>
      <c r="O15" s="268"/>
      <c r="P15" s="8"/>
      <c r="Q15" s="8"/>
      <c r="R15" s="8"/>
      <c r="S15" s="8"/>
      <c r="T15" s="8"/>
      <c r="U15" s="9"/>
    </row>
    <row r="16" spans="1:23" hidden="1" x14ac:dyDescent="0.35">
      <c r="A16" s="12"/>
      <c r="B16" s="213" t="s">
        <v>62</v>
      </c>
      <c r="C16" s="311"/>
      <c r="E16" s="207"/>
      <c r="F16" s="208"/>
      <c r="G16" s="216"/>
      <c r="H16" s="216"/>
      <c r="I16" s="216"/>
      <c r="J16" s="7"/>
      <c r="K16" s="8"/>
      <c r="L16" s="8"/>
      <c r="M16" s="8"/>
      <c r="N16" s="8"/>
      <c r="O16" s="268"/>
      <c r="P16" s="8"/>
      <c r="Q16" s="8"/>
      <c r="R16" s="8"/>
      <c r="S16" s="8"/>
      <c r="T16" s="8"/>
      <c r="U16" s="9"/>
    </row>
    <row r="17" spans="1:21" hidden="1" x14ac:dyDescent="0.35">
      <c r="A17" s="12"/>
      <c r="B17" s="211" t="s">
        <v>197</v>
      </c>
      <c r="C17" s="181"/>
      <c r="E17" s="207"/>
      <c r="F17" s="208"/>
      <c r="G17" s="6"/>
      <c r="H17" s="6"/>
      <c r="I17" s="6"/>
      <c r="J17" s="15"/>
      <c r="K17" s="16"/>
      <c r="L17" s="16"/>
      <c r="M17" s="16"/>
      <c r="N17" s="16"/>
      <c r="O17" s="358"/>
      <c r="P17" s="16"/>
      <c r="Q17" s="16"/>
      <c r="R17" s="16"/>
      <c r="S17" s="16"/>
      <c r="T17" s="16"/>
      <c r="U17" s="17"/>
    </row>
    <row r="18" spans="1:21" hidden="1" x14ac:dyDescent="0.35">
      <c r="A18" s="12"/>
      <c r="B18" s="211" t="s">
        <v>198</v>
      </c>
      <c r="C18" s="181"/>
      <c r="E18" s="207"/>
      <c r="F18" s="208"/>
      <c r="G18" s="19"/>
      <c r="H18" s="19"/>
      <c r="I18" s="19"/>
      <c r="J18" s="15"/>
      <c r="K18" s="16"/>
      <c r="L18" s="16"/>
      <c r="M18" s="16"/>
      <c r="N18" s="16"/>
      <c r="O18" s="358"/>
      <c r="P18" s="16"/>
      <c r="Q18" s="16"/>
      <c r="R18" s="16"/>
      <c r="S18" s="16"/>
      <c r="T18" s="16"/>
      <c r="U18" s="17"/>
    </row>
    <row r="19" spans="1:21" hidden="1" x14ac:dyDescent="0.35">
      <c r="A19" s="12"/>
      <c r="B19" s="211" t="s">
        <v>199</v>
      </c>
      <c r="C19" s="181"/>
      <c r="E19" s="207"/>
      <c r="F19" s="208"/>
      <c r="G19" s="19"/>
      <c r="H19" s="19"/>
      <c r="I19" s="19"/>
      <c r="J19" s="15"/>
      <c r="K19" s="16"/>
      <c r="L19" s="16"/>
      <c r="M19" s="16"/>
      <c r="N19" s="16"/>
      <c r="O19" s="358"/>
      <c r="P19" s="16"/>
      <c r="Q19" s="16"/>
      <c r="R19" s="16"/>
      <c r="S19" s="16"/>
      <c r="T19" s="16"/>
      <c r="U19" s="17"/>
    </row>
    <row r="20" spans="1:21" ht="37.5" hidden="1" customHeight="1" x14ac:dyDescent="0.35">
      <c r="A20" s="12"/>
      <c r="B20" s="211" t="s">
        <v>200</v>
      </c>
      <c r="C20" s="181"/>
      <c r="E20" s="207"/>
      <c r="F20" s="208"/>
      <c r="G20" s="19"/>
      <c r="H20" s="19"/>
      <c r="I20" s="19"/>
      <c r="J20" s="15"/>
      <c r="K20" s="16"/>
      <c r="L20" s="16"/>
      <c r="M20" s="16"/>
      <c r="N20" s="16"/>
      <c r="O20" s="358"/>
      <c r="P20" s="16"/>
      <c r="Q20" s="16"/>
      <c r="R20" s="16"/>
      <c r="S20" s="16"/>
      <c r="T20" s="16"/>
      <c r="U20" s="17"/>
    </row>
    <row r="21" spans="1:21" ht="40.5" hidden="1" customHeight="1" x14ac:dyDescent="0.35">
      <c r="A21" s="12"/>
      <c r="B21" s="211" t="s">
        <v>201</v>
      </c>
      <c r="C21" s="181"/>
      <c r="E21" s="207"/>
      <c r="F21" s="208"/>
      <c r="G21" s="19"/>
      <c r="H21" s="19"/>
      <c r="I21" s="19"/>
      <c r="J21" s="15"/>
      <c r="K21" s="16"/>
      <c r="L21" s="16"/>
      <c r="M21" s="16"/>
      <c r="N21" s="16"/>
      <c r="O21" s="358"/>
      <c r="P21" s="16"/>
      <c r="Q21" s="16"/>
      <c r="R21" s="16"/>
      <c r="S21" s="16"/>
      <c r="T21" s="16"/>
      <c r="U21" s="17"/>
    </row>
    <row r="22" spans="1:21" ht="36.75" hidden="1" customHeight="1" x14ac:dyDescent="0.35">
      <c r="A22" s="12"/>
      <c r="B22" s="212" t="s">
        <v>202</v>
      </c>
      <c r="C22" s="312"/>
      <c r="D22" s="285"/>
      <c r="E22" s="207"/>
      <c r="F22" s="208"/>
      <c r="G22" s="11"/>
      <c r="H22" s="11"/>
      <c r="I22" s="11"/>
      <c r="J22" s="20"/>
      <c r="K22" s="21"/>
      <c r="L22" s="21"/>
      <c r="M22" s="21"/>
      <c r="N22" s="21"/>
      <c r="O22" s="41"/>
      <c r="P22" s="21"/>
      <c r="Q22" s="21"/>
      <c r="R22" s="21"/>
      <c r="S22" s="21"/>
      <c r="T22" s="21"/>
      <c r="U22" s="22"/>
    </row>
    <row r="23" spans="1:21" s="126" customFormat="1" ht="16" customHeight="1" x14ac:dyDescent="0.35">
      <c r="A23" s="125"/>
      <c r="B23" s="508" t="s">
        <v>128</v>
      </c>
      <c r="C23" s="509"/>
      <c r="D23" s="509"/>
      <c r="E23" s="509"/>
      <c r="F23" s="509"/>
      <c r="G23" s="509"/>
      <c r="H23" s="509"/>
      <c r="I23" s="509"/>
      <c r="J23" s="509"/>
      <c r="K23" s="509"/>
      <c r="L23" s="509"/>
      <c r="M23" s="509"/>
      <c r="N23" s="509"/>
      <c r="O23" s="509"/>
      <c r="P23" s="509"/>
      <c r="Q23" s="509"/>
      <c r="R23" s="509"/>
      <c r="S23" s="509"/>
      <c r="T23" s="509"/>
      <c r="U23" s="511"/>
    </row>
    <row r="24" spans="1:21" ht="15" customHeight="1" x14ac:dyDescent="0.35">
      <c r="A24" s="12"/>
      <c r="B24" s="5" t="s">
        <v>113</v>
      </c>
      <c r="C24" s="181" t="s">
        <v>212</v>
      </c>
      <c r="E24" s="149">
        <v>0</v>
      </c>
      <c r="F24" s="150">
        <v>3435</v>
      </c>
      <c r="G24" s="154">
        <f t="shared" ref="G24:I26" si="2">SUM(J24:U24)</f>
        <v>2150</v>
      </c>
      <c r="H24" s="154">
        <f t="shared" si="2"/>
        <v>1972</v>
      </c>
      <c r="I24" s="532">
        <f t="shared" si="2"/>
        <v>1796</v>
      </c>
      <c r="J24" s="8">
        <v>178</v>
      </c>
      <c r="K24" s="8">
        <v>176</v>
      </c>
      <c r="L24" s="8">
        <v>178</v>
      </c>
      <c r="M24" s="138">
        <v>179</v>
      </c>
      <c r="N24" s="8">
        <v>176</v>
      </c>
      <c r="O24" s="8">
        <v>177</v>
      </c>
      <c r="P24" s="8">
        <v>177</v>
      </c>
      <c r="Q24" s="8">
        <v>187</v>
      </c>
      <c r="R24" s="8">
        <v>185</v>
      </c>
      <c r="S24" s="8">
        <v>180</v>
      </c>
      <c r="T24" s="8">
        <v>178</v>
      </c>
      <c r="U24" s="23">
        <v>179</v>
      </c>
    </row>
    <row r="25" spans="1:21" ht="15" customHeight="1" x14ac:dyDescent="0.35">
      <c r="A25" s="12"/>
      <c r="B25" s="193" t="s">
        <v>15</v>
      </c>
      <c r="C25" s="181" t="s">
        <v>212</v>
      </c>
      <c r="E25" s="151">
        <v>0</v>
      </c>
      <c r="F25" s="152">
        <v>1807</v>
      </c>
      <c r="G25" s="155">
        <f t="shared" si="2"/>
        <v>1214</v>
      </c>
      <c r="H25" s="155">
        <f t="shared" si="2"/>
        <v>1119</v>
      </c>
      <c r="I25" s="533">
        <f t="shared" si="2"/>
        <v>1026</v>
      </c>
      <c r="J25" s="138">
        <v>95</v>
      </c>
      <c r="K25" s="8">
        <v>93</v>
      </c>
      <c r="L25" s="8">
        <v>97</v>
      </c>
      <c r="M25" s="138">
        <v>97</v>
      </c>
      <c r="N25" s="8">
        <v>99</v>
      </c>
      <c r="O25" s="8">
        <v>106</v>
      </c>
      <c r="P25" s="8">
        <v>105</v>
      </c>
      <c r="Q25" s="8">
        <v>108</v>
      </c>
      <c r="R25" s="8">
        <v>106</v>
      </c>
      <c r="S25" s="8">
        <v>102</v>
      </c>
      <c r="T25" s="8">
        <v>104</v>
      </c>
      <c r="U25" s="23">
        <v>102</v>
      </c>
    </row>
    <row r="26" spans="1:21" ht="15" customHeight="1" x14ac:dyDescent="0.35">
      <c r="A26" s="12"/>
      <c r="B26" s="193" t="s">
        <v>16</v>
      </c>
      <c r="C26" s="181" t="s">
        <v>212</v>
      </c>
      <c r="E26" s="151">
        <v>0</v>
      </c>
      <c r="F26" s="152">
        <v>1664</v>
      </c>
      <c r="G26" s="155">
        <f t="shared" si="2"/>
        <v>936</v>
      </c>
      <c r="H26" s="155">
        <f t="shared" si="2"/>
        <v>853</v>
      </c>
      <c r="I26" s="533">
        <f t="shared" si="2"/>
        <v>770</v>
      </c>
      <c r="J26" s="8">
        <v>83</v>
      </c>
      <c r="K26" s="8">
        <v>83</v>
      </c>
      <c r="L26" s="8">
        <v>81</v>
      </c>
      <c r="M26" s="138">
        <v>82</v>
      </c>
      <c r="N26" s="8">
        <v>77</v>
      </c>
      <c r="O26" s="8">
        <v>71</v>
      </c>
      <c r="P26" s="8">
        <v>72</v>
      </c>
      <c r="Q26" s="8">
        <v>79</v>
      </c>
      <c r="R26" s="8">
        <v>79</v>
      </c>
      <c r="S26" s="8">
        <v>78</v>
      </c>
      <c r="T26" s="8">
        <v>74</v>
      </c>
      <c r="U26" s="23">
        <v>77</v>
      </c>
    </row>
    <row r="27" spans="1:21" ht="15" customHeight="1" x14ac:dyDescent="0.35">
      <c r="A27" s="12"/>
      <c r="B27" s="193" t="s">
        <v>215</v>
      </c>
      <c r="C27" s="181"/>
      <c r="E27" s="151"/>
      <c r="F27" s="152"/>
      <c r="G27" s="155"/>
      <c r="H27" s="155"/>
      <c r="I27" s="155"/>
      <c r="J27" s="8">
        <v>149</v>
      </c>
      <c r="K27" s="8">
        <v>146</v>
      </c>
      <c r="L27" s="8">
        <v>146</v>
      </c>
      <c r="M27" s="138">
        <v>149</v>
      </c>
      <c r="N27" s="8">
        <v>143</v>
      </c>
      <c r="O27" s="8">
        <v>148</v>
      </c>
      <c r="P27" s="8">
        <v>148</v>
      </c>
      <c r="Q27" s="8">
        <v>158</v>
      </c>
      <c r="R27" s="8">
        <v>156</v>
      </c>
      <c r="S27" s="8">
        <v>150</v>
      </c>
      <c r="T27" s="8">
        <v>148</v>
      </c>
      <c r="U27" s="23">
        <v>146</v>
      </c>
    </row>
    <row r="28" spans="1:21" ht="15" customHeight="1" x14ac:dyDescent="0.35">
      <c r="A28" s="12"/>
      <c r="B28" s="193" t="s">
        <v>216</v>
      </c>
      <c r="C28" s="181"/>
      <c r="E28" s="151"/>
      <c r="F28" s="152"/>
      <c r="G28" s="155"/>
      <c r="H28" s="155"/>
      <c r="I28" s="155"/>
      <c r="J28" s="8">
        <v>18</v>
      </c>
      <c r="K28" s="8">
        <v>18</v>
      </c>
      <c r="L28" s="8">
        <v>18</v>
      </c>
      <c r="M28" s="138">
        <v>16</v>
      </c>
      <c r="N28" s="8">
        <v>17</v>
      </c>
      <c r="O28" s="8">
        <v>13</v>
      </c>
      <c r="P28" s="138">
        <v>14</v>
      </c>
      <c r="Q28" s="8">
        <v>15</v>
      </c>
      <c r="R28" s="8">
        <v>15</v>
      </c>
      <c r="S28" s="8">
        <v>16</v>
      </c>
      <c r="T28" s="138">
        <v>13</v>
      </c>
      <c r="U28" s="23">
        <v>16</v>
      </c>
    </row>
    <row r="29" spans="1:21" ht="15" customHeight="1" x14ac:dyDescent="0.35">
      <c r="A29" s="12"/>
      <c r="B29" s="193" t="s">
        <v>218</v>
      </c>
      <c r="C29" s="181"/>
      <c r="E29" s="151"/>
      <c r="F29" s="152"/>
      <c r="G29" s="155"/>
      <c r="H29" s="155"/>
      <c r="I29" s="155"/>
      <c r="J29" s="8">
        <v>7</v>
      </c>
      <c r="K29" s="8">
        <v>8</v>
      </c>
      <c r="L29" s="8">
        <v>9</v>
      </c>
      <c r="M29" s="138">
        <v>9</v>
      </c>
      <c r="N29" s="8">
        <v>9</v>
      </c>
      <c r="O29" s="8">
        <v>9</v>
      </c>
      <c r="P29" s="8">
        <v>8</v>
      </c>
      <c r="Q29" s="8">
        <v>7</v>
      </c>
      <c r="R29" s="8">
        <v>7</v>
      </c>
      <c r="S29" s="8">
        <v>7</v>
      </c>
      <c r="T29" s="8">
        <v>10</v>
      </c>
      <c r="U29" s="23">
        <v>10</v>
      </c>
    </row>
    <row r="30" spans="1:21" ht="15" customHeight="1" x14ac:dyDescent="0.35">
      <c r="A30" s="12"/>
      <c r="B30" s="193" t="s">
        <v>217</v>
      </c>
      <c r="C30" s="181"/>
      <c r="E30" s="151"/>
      <c r="F30" s="152"/>
      <c r="G30" s="155"/>
      <c r="H30" s="155"/>
      <c r="I30" s="155"/>
      <c r="J30" s="8">
        <v>4</v>
      </c>
      <c r="K30" s="8">
        <v>4</v>
      </c>
      <c r="L30" s="8">
        <v>5</v>
      </c>
      <c r="M30" s="138">
        <v>5</v>
      </c>
      <c r="N30" s="8">
        <v>7</v>
      </c>
      <c r="O30" s="8">
        <v>7</v>
      </c>
      <c r="P30" s="8">
        <v>7</v>
      </c>
      <c r="Q30" s="8">
        <v>7</v>
      </c>
      <c r="R30" s="8">
        <v>7</v>
      </c>
      <c r="S30" s="8">
        <v>7</v>
      </c>
      <c r="T30" s="8">
        <v>7</v>
      </c>
      <c r="U30" s="23">
        <v>7</v>
      </c>
    </row>
    <row r="31" spans="1:21" ht="15" customHeight="1" x14ac:dyDescent="0.35">
      <c r="A31" s="12"/>
      <c r="B31" s="193" t="s">
        <v>114</v>
      </c>
      <c r="C31" s="181" t="s">
        <v>212</v>
      </c>
      <c r="E31" s="151">
        <v>0</v>
      </c>
      <c r="F31" s="152">
        <v>1429</v>
      </c>
      <c r="G31" s="155">
        <f t="shared" ref="G31:G42" si="3">SUM(J31:U31)</f>
        <v>656</v>
      </c>
      <c r="H31" s="155">
        <f t="shared" ref="H31:H42" si="4">SUM(K31:V31)</f>
        <v>619</v>
      </c>
      <c r="I31" s="533">
        <f t="shared" ref="I31:I42" si="5">SUM(L31:W31)</f>
        <v>578</v>
      </c>
      <c r="J31" s="8">
        <v>37</v>
      </c>
      <c r="K31" s="8">
        <v>41</v>
      </c>
      <c r="L31" s="8">
        <v>44</v>
      </c>
      <c r="M31" s="138">
        <v>50</v>
      </c>
      <c r="N31" s="8">
        <v>47</v>
      </c>
      <c r="O31" s="8">
        <v>54</v>
      </c>
      <c r="P31" s="8">
        <v>56</v>
      </c>
      <c r="Q31" s="8">
        <v>67</v>
      </c>
      <c r="R31" s="8">
        <v>62</v>
      </c>
      <c r="S31" s="8">
        <v>61</v>
      </c>
      <c r="T31" s="8">
        <v>69</v>
      </c>
      <c r="U31" s="23">
        <v>68</v>
      </c>
    </row>
    <row r="32" spans="1:21" ht="15" customHeight="1" x14ac:dyDescent="0.35">
      <c r="A32" s="12"/>
      <c r="B32" s="193" t="s">
        <v>115</v>
      </c>
      <c r="C32" s="181" t="s">
        <v>212</v>
      </c>
      <c r="E32" s="151">
        <v>0</v>
      </c>
      <c r="F32" s="152">
        <v>949</v>
      </c>
      <c r="G32" s="155">
        <f t="shared" si="3"/>
        <v>378</v>
      </c>
      <c r="H32" s="155">
        <f t="shared" si="4"/>
        <v>339</v>
      </c>
      <c r="I32" s="533">
        <f t="shared" si="5"/>
        <v>301</v>
      </c>
      <c r="J32" s="8">
        <v>39</v>
      </c>
      <c r="K32" s="8">
        <v>38</v>
      </c>
      <c r="L32" s="8">
        <v>28</v>
      </c>
      <c r="M32" s="138">
        <v>29</v>
      </c>
      <c r="N32" s="8">
        <v>31</v>
      </c>
      <c r="O32" s="8">
        <v>28</v>
      </c>
      <c r="P32" s="8">
        <v>30</v>
      </c>
      <c r="Q32" s="8">
        <v>29</v>
      </c>
      <c r="R32" s="8">
        <v>35</v>
      </c>
      <c r="S32" s="8">
        <v>33</v>
      </c>
      <c r="T32" s="8">
        <v>28</v>
      </c>
      <c r="U32" s="23">
        <v>30</v>
      </c>
    </row>
    <row r="33" spans="1:21" ht="15" customHeight="1" x14ac:dyDescent="0.35">
      <c r="A33" s="12"/>
      <c r="B33" s="193" t="s">
        <v>116</v>
      </c>
      <c r="C33" s="181" t="s">
        <v>212</v>
      </c>
      <c r="E33" s="151">
        <v>0</v>
      </c>
      <c r="F33" s="152">
        <v>1093</v>
      </c>
      <c r="G33" s="155">
        <f t="shared" si="3"/>
        <v>1116</v>
      </c>
      <c r="H33" s="155">
        <f t="shared" si="4"/>
        <v>1014</v>
      </c>
      <c r="I33" s="533">
        <f t="shared" si="5"/>
        <v>917</v>
      </c>
      <c r="J33" s="8">
        <v>102</v>
      </c>
      <c r="K33" s="8">
        <v>97</v>
      </c>
      <c r="L33" s="138">
        <v>106</v>
      </c>
      <c r="M33" s="138">
        <v>100</v>
      </c>
      <c r="N33" s="8">
        <v>98</v>
      </c>
      <c r="O33" s="8">
        <v>95</v>
      </c>
      <c r="P33" s="8">
        <v>91</v>
      </c>
      <c r="Q33" s="8">
        <v>91</v>
      </c>
      <c r="R33" s="8">
        <v>88</v>
      </c>
      <c r="S33" s="8">
        <v>86</v>
      </c>
      <c r="T33" s="8">
        <v>81</v>
      </c>
      <c r="U33" s="23">
        <v>81</v>
      </c>
    </row>
    <row r="34" spans="1:21" ht="27" customHeight="1" x14ac:dyDescent="0.35">
      <c r="A34" s="12"/>
      <c r="B34" s="24" t="s">
        <v>122</v>
      </c>
      <c r="C34" s="181" t="s">
        <v>212</v>
      </c>
      <c r="D34" s="285"/>
      <c r="E34" s="151">
        <v>0</v>
      </c>
      <c r="F34" s="152">
        <v>211</v>
      </c>
      <c r="G34" s="155">
        <f t="shared" si="3"/>
        <v>398</v>
      </c>
      <c r="H34" s="155">
        <f t="shared" si="4"/>
        <v>364</v>
      </c>
      <c r="I34" s="533">
        <f t="shared" si="5"/>
        <v>331</v>
      </c>
      <c r="J34" s="8">
        <v>34</v>
      </c>
      <c r="K34" s="8">
        <v>33</v>
      </c>
      <c r="L34" s="8">
        <v>34</v>
      </c>
      <c r="M34" s="138">
        <v>33</v>
      </c>
      <c r="N34" s="8">
        <v>30</v>
      </c>
      <c r="O34" s="8">
        <v>32</v>
      </c>
      <c r="P34" s="8">
        <v>31</v>
      </c>
      <c r="Q34" s="8">
        <v>33</v>
      </c>
      <c r="R34" s="8">
        <v>34</v>
      </c>
      <c r="S34" s="8">
        <v>34</v>
      </c>
      <c r="T34" s="8">
        <v>35</v>
      </c>
      <c r="U34" s="23">
        <v>35</v>
      </c>
    </row>
    <row r="35" spans="1:21" ht="15" customHeight="1" x14ac:dyDescent="0.35">
      <c r="A35" s="12"/>
      <c r="B35" s="18" t="s">
        <v>123</v>
      </c>
      <c r="C35" s="181" t="s">
        <v>212</v>
      </c>
      <c r="E35" s="151">
        <v>0</v>
      </c>
      <c r="F35" s="152">
        <v>212</v>
      </c>
      <c r="G35" s="155">
        <f t="shared" si="3"/>
        <v>77</v>
      </c>
      <c r="H35" s="155">
        <f t="shared" si="4"/>
        <v>72</v>
      </c>
      <c r="I35" s="533">
        <f t="shared" si="5"/>
        <v>68</v>
      </c>
      <c r="J35" s="46">
        <v>5</v>
      </c>
      <c r="K35" s="8">
        <v>4</v>
      </c>
      <c r="L35" s="8">
        <v>8</v>
      </c>
      <c r="M35" s="138">
        <v>7</v>
      </c>
      <c r="N35" s="8">
        <v>6</v>
      </c>
      <c r="O35" s="8">
        <v>9</v>
      </c>
      <c r="P35" s="8">
        <v>6</v>
      </c>
      <c r="Q35" s="8">
        <v>12</v>
      </c>
      <c r="R35" s="8">
        <v>5</v>
      </c>
      <c r="S35" s="8">
        <v>3</v>
      </c>
      <c r="T35" s="138">
        <v>8</v>
      </c>
      <c r="U35" s="23">
        <v>4</v>
      </c>
    </row>
    <row r="36" spans="1:21" ht="15" customHeight="1" x14ac:dyDescent="0.35">
      <c r="A36" s="12"/>
      <c r="B36" s="18" t="s">
        <v>124</v>
      </c>
      <c r="C36" s="181" t="s">
        <v>212</v>
      </c>
      <c r="E36" s="151">
        <v>0</v>
      </c>
      <c r="F36" s="152">
        <v>213</v>
      </c>
      <c r="G36" s="155">
        <f t="shared" si="3"/>
        <v>80</v>
      </c>
      <c r="H36" s="155">
        <f t="shared" si="4"/>
        <v>72</v>
      </c>
      <c r="I36" s="533">
        <f t="shared" si="5"/>
        <v>66</v>
      </c>
      <c r="J36" s="46">
        <v>8</v>
      </c>
      <c r="K36" s="8">
        <v>6</v>
      </c>
      <c r="L36" s="8">
        <v>6</v>
      </c>
      <c r="M36" s="138">
        <v>6</v>
      </c>
      <c r="N36" s="8">
        <v>9</v>
      </c>
      <c r="O36" s="8">
        <v>8</v>
      </c>
      <c r="P36" s="8">
        <v>6</v>
      </c>
      <c r="Q36" s="8">
        <v>3</v>
      </c>
      <c r="R36" s="8">
        <v>7</v>
      </c>
      <c r="S36" s="8">
        <v>8</v>
      </c>
      <c r="T36" s="8">
        <v>10</v>
      </c>
      <c r="U36" s="23">
        <v>3</v>
      </c>
    </row>
    <row r="37" spans="1:21" ht="15" customHeight="1" x14ac:dyDescent="0.35">
      <c r="A37" s="12"/>
      <c r="B37" s="193" t="s">
        <v>35</v>
      </c>
      <c r="C37" s="181" t="s">
        <v>212</v>
      </c>
      <c r="E37" s="151">
        <v>0</v>
      </c>
      <c r="F37" s="152">
        <v>214</v>
      </c>
      <c r="G37" s="155">
        <f t="shared" si="3"/>
        <v>29</v>
      </c>
      <c r="H37" s="155">
        <f t="shared" si="4"/>
        <v>29</v>
      </c>
      <c r="I37" s="533">
        <f t="shared" si="5"/>
        <v>26</v>
      </c>
      <c r="J37" s="274">
        <v>0</v>
      </c>
      <c r="K37" s="27">
        <v>3</v>
      </c>
      <c r="L37" s="27">
        <v>2</v>
      </c>
      <c r="M37" s="138">
        <v>3</v>
      </c>
      <c r="N37" s="27">
        <v>6</v>
      </c>
      <c r="O37" s="27">
        <v>5</v>
      </c>
      <c r="P37" s="27">
        <v>1</v>
      </c>
      <c r="Q37" s="27">
        <v>2</v>
      </c>
      <c r="R37" s="27">
        <v>2</v>
      </c>
      <c r="S37" s="27">
        <v>4</v>
      </c>
      <c r="T37" s="8">
        <v>0</v>
      </c>
      <c r="U37" s="28">
        <v>1</v>
      </c>
    </row>
    <row r="38" spans="1:21" ht="15" customHeight="1" x14ac:dyDescent="0.35">
      <c r="A38" s="12"/>
      <c r="B38" s="193" t="s">
        <v>40</v>
      </c>
      <c r="C38" s="181" t="s">
        <v>212</v>
      </c>
      <c r="E38" s="151">
        <v>0</v>
      </c>
      <c r="F38" s="152">
        <v>215</v>
      </c>
      <c r="G38" s="155">
        <f t="shared" si="3"/>
        <v>1</v>
      </c>
      <c r="H38" s="155">
        <f t="shared" si="4"/>
        <v>1</v>
      </c>
      <c r="I38" s="533">
        <f t="shared" si="5"/>
        <v>1</v>
      </c>
      <c r="J38" s="274">
        <v>0</v>
      </c>
      <c r="K38" s="27">
        <v>0</v>
      </c>
      <c r="L38" s="27">
        <v>0</v>
      </c>
      <c r="M38" s="138">
        <v>0</v>
      </c>
      <c r="N38" s="27">
        <v>0</v>
      </c>
      <c r="O38" s="27">
        <v>0</v>
      </c>
      <c r="P38" s="27">
        <v>0</v>
      </c>
      <c r="Q38" s="27">
        <v>1</v>
      </c>
      <c r="R38" s="27">
        <v>0</v>
      </c>
      <c r="S38" s="27">
        <v>0</v>
      </c>
      <c r="T38" s="138">
        <v>0</v>
      </c>
      <c r="U38" s="28">
        <v>0</v>
      </c>
    </row>
    <row r="39" spans="1:21" ht="15" customHeight="1" x14ac:dyDescent="0.35">
      <c r="A39" s="12"/>
      <c r="B39" s="193" t="s">
        <v>36</v>
      </c>
      <c r="C39" s="181" t="s">
        <v>212</v>
      </c>
      <c r="E39" s="151">
        <v>0</v>
      </c>
      <c r="F39" s="152">
        <v>216</v>
      </c>
      <c r="G39" s="155">
        <f t="shared" si="3"/>
        <v>4</v>
      </c>
      <c r="H39" s="155">
        <f t="shared" si="4"/>
        <v>4</v>
      </c>
      <c r="I39" s="533">
        <f t="shared" si="5"/>
        <v>4</v>
      </c>
      <c r="J39" s="274">
        <v>0</v>
      </c>
      <c r="K39" s="27">
        <v>0</v>
      </c>
      <c r="L39" s="27">
        <v>2</v>
      </c>
      <c r="M39" s="138">
        <v>1</v>
      </c>
      <c r="N39" s="27">
        <v>0</v>
      </c>
      <c r="O39" s="138">
        <v>0</v>
      </c>
      <c r="P39" s="27">
        <v>0</v>
      </c>
      <c r="Q39" s="27">
        <v>0</v>
      </c>
      <c r="R39" s="27">
        <v>1</v>
      </c>
      <c r="S39" s="27">
        <v>0</v>
      </c>
      <c r="T39" s="8">
        <v>0</v>
      </c>
      <c r="U39" s="28">
        <v>0</v>
      </c>
    </row>
    <row r="40" spans="1:21" ht="15" customHeight="1" x14ac:dyDescent="0.35">
      <c r="A40" s="12"/>
      <c r="B40" s="193" t="s">
        <v>37</v>
      </c>
      <c r="C40" s="181" t="s">
        <v>212</v>
      </c>
      <c r="E40" s="151">
        <v>0</v>
      </c>
      <c r="F40" s="152">
        <v>217</v>
      </c>
      <c r="G40" s="155">
        <f t="shared" si="3"/>
        <v>28</v>
      </c>
      <c r="H40" s="155">
        <f t="shared" si="4"/>
        <v>22</v>
      </c>
      <c r="I40" s="533">
        <f t="shared" si="5"/>
        <v>21</v>
      </c>
      <c r="J40" s="274">
        <v>6</v>
      </c>
      <c r="K40" s="27">
        <v>1</v>
      </c>
      <c r="L40" s="27">
        <v>2</v>
      </c>
      <c r="M40" s="138">
        <v>0</v>
      </c>
      <c r="N40" s="27">
        <v>0</v>
      </c>
      <c r="O40" s="27">
        <v>2</v>
      </c>
      <c r="P40" s="27">
        <v>2</v>
      </c>
      <c r="Q40" s="27">
        <v>0</v>
      </c>
      <c r="R40" s="27">
        <v>1</v>
      </c>
      <c r="S40" s="27">
        <v>4</v>
      </c>
      <c r="T40" s="8">
        <v>10</v>
      </c>
      <c r="U40" s="28">
        <v>0</v>
      </c>
    </row>
    <row r="41" spans="1:21" ht="15" customHeight="1" x14ac:dyDescent="0.35">
      <c r="A41" s="12"/>
      <c r="B41" s="193" t="s">
        <v>125</v>
      </c>
      <c r="C41" s="181" t="s">
        <v>212</v>
      </c>
      <c r="E41" s="151">
        <v>0</v>
      </c>
      <c r="F41" s="152">
        <v>218</v>
      </c>
      <c r="G41" s="155">
        <f t="shared" si="3"/>
        <v>18</v>
      </c>
      <c r="H41" s="155">
        <f t="shared" si="4"/>
        <v>16</v>
      </c>
      <c r="I41" s="533">
        <f t="shared" si="5"/>
        <v>14</v>
      </c>
      <c r="J41" s="274">
        <v>2</v>
      </c>
      <c r="K41" s="27">
        <v>2</v>
      </c>
      <c r="L41" s="27">
        <v>0</v>
      </c>
      <c r="M41" s="138">
        <v>2</v>
      </c>
      <c r="N41" s="27">
        <v>3</v>
      </c>
      <c r="O41" s="27">
        <v>1</v>
      </c>
      <c r="P41" s="27">
        <v>3</v>
      </c>
      <c r="Q41" s="27">
        <v>0</v>
      </c>
      <c r="R41" s="27">
        <v>3</v>
      </c>
      <c r="S41" s="27">
        <v>0</v>
      </c>
      <c r="T41" s="8">
        <v>0</v>
      </c>
      <c r="U41" s="28">
        <v>2</v>
      </c>
    </row>
    <row r="42" spans="1:21" ht="15" customHeight="1" x14ac:dyDescent="0.35">
      <c r="A42" s="12"/>
      <c r="B42" s="192" t="s">
        <v>117</v>
      </c>
      <c r="C42" s="181" t="s">
        <v>212</v>
      </c>
      <c r="D42" s="286"/>
      <c r="E42" s="418">
        <v>0</v>
      </c>
      <c r="F42" s="419">
        <v>219</v>
      </c>
      <c r="G42" s="420">
        <f t="shared" si="3"/>
        <v>0</v>
      </c>
      <c r="H42" s="420">
        <f t="shared" si="4"/>
        <v>0</v>
      </c>
      <c r="I42" s="533">
        <f t="shared" si="5"/>
        <v>0</v>
      </c>
      <c r="J42" s="275">
        <v>0</v>
      </c>
      <c r="K42" s="129">
        <v>0</v>
      </c>
      <c r="L42" s="129">
        <v>0</v>
      </c>
      <c r="M42" s="138">
        <v>0</v>
      </c>
      <c r="N42" s="129">
        <v>0</v>
      </c>
      <c r="O42" s="129">
        <v>0</v>
      </c>
      <c r="P42" s="129">
        <v>0</v>
      </c>
      <c r="Q42" s="129">
        <v>0</v>
      </c>
      <c r="R42" s="129">
        <v>0</v>
      </c>
      <c r="S42" s="129">
        <v>0</v>
      </c>
      <c r="T42" s="8">
        <v>0</v>
      </c>
      <c r="U42" s="45">
        <v>0</v>
      </c>
    </row>
    <row r="43" spans="1:21" ht="15" customHeight="1" x14ac:dyDescent="0.35">
      <c r="A43" s="12"/>
      <c r="B43" s="496" t="s">
        <v>282</v>
      </c>
      <c r="C43" s="441"/>
      <c r="D43" s="441"/>
      <c r="E43" s="441"/>
      <c r="F43" s="441"/>
      <c r="G43" s="441"/>
      <c r="H43" s="441"/>
      <c r="I43" s="441"/>
      <c r="J43" s="441"/>
      <c r="K43" s="441"/>
      <c r="L43" s="441"/>
      <c r="M43" s="441"/>
      <c r="N43" s="441"/>
      <c r="O43" s="441"/>
      <c r="P43" s="441"/>
      <c r="Q43" s="441"/>
      <c r="R43" s="441"/>
      <c r="S43" s="441"/>
      <c r="T43" s="441"/>
      <c r="U43" s="497"/>
    </row>
    <row r="44" spans="1:21" ht="15" customHeight="1" x14ac:dyDescent="0.35">
      <c r="A44" s="12"/>
      <c r="B44" s="192" t="s">
        <v>281</v>
      </c>
      <c r="C44" s="441"/>
      <c r="D44" s="441"/>
      <c r="E44" s="441"/>
      <c r="F44" s="441"/>
      <c r="G44" s="441"/>
      <c r="H44" s="441"/>
      <c r="I44" s="457"/>
      <c r="J44" s="460"/>
      <c r="K44" s="459"/>
      <c r="L44" s="474">
        <v>44</v>
      </c>
      <c r="M44" s="474">
        <v>45</v>
      </c>
      <c r="N44" s="474">
        <v>48</v>
      </c>
      <c r="O44" s="474">
        <v>55</v>
      </c>
      <c r="P44" s="474">
        <v>57</v>
      </c>
      <c r="Q44" s="474">
        <v>49</v>
      </c>
      <c r="R44" s="474">
        <v>39</v>
      </c>
      <c r="S44" s="474">
        <v>38</v>
      </c>
      <c r="T44" s="474">
        <v>34</v>
      </c>
      <c r="U44" s="476">
        <v>30</v>
      </c>
    </row>
    <row r="45" spans="1:21" ht="15" customHeight="1" x14ac:dyDescent="0.35">
      <c r="A45" s="12"/>
      <c r="B45" s="458" t="s">
        <v>280</v>
      </c>
      <c r="C45" s="441"/>
      <c r="D45" s="441"/>
      <c r="E45" s="441"/>
      <c r="F45" s="441"/>
      <c r="G45" s="441"/>
      <c r="H45" s="441"/>
      <c r="I45" s="457"/>
      <c r="J45" s="456"/>
      <c r="K45" s="455"/>
      <c r="L45" s="475">
        <v>69</v>
      </c>
      <c r="M45" s="475">
        <v>80</v>
      </c>
      <c r="N45" s="475">
        <v>88</v>
      </c>
      <c r="O45" s="475">
        <v>107</v>
      </c>
      <c r="P45" s="475">
        <v>105</v>
      </c>
      <c r="Q45" s="475">
        <v>92</v>
      </c>
      <c r="R45" s="475">
        <v>77</v>
      </c>
      <c r="S45" s="475">
        <v>70</v>
      </c>
      <c r="T45" s="475">
        <v>63</v>
      </c>
      <c r="U45" s="477">
        <v>51</v>
      </c>
    </row>
    <row r="46" spans="1:21" s="126" customFormat="1" ht="16" customHeight="1" x14ac:dyDescent="0.35">
      <c r="A46" s="125"/>
      <c r="B46" s="496" t="s">
        <v>246</v>
      </c>
      <c r="C46" s="441"/>
      <c r="D46" s="441"/>
      <c r="E46" s="441"/>
      <c r="F46" s="441"/>
      <c r="G46" s="441"/>
      <c r="H46" s="441"/>
      <c r="I46" s="441"/>
      <c r="J46" s="441"/>
      <c r="K46" s="441"/>
      <c r="L46" s="441"/>
      <c r="M46" s="441"/>
      <c r="N46" s="441"/>
      <c r="O46" s="441"/>
      <c r="P46" s="441"/>
      <c r="Q46" s="441"/>
      <c r="R46" s="441"/>
      <c r="S46" s="441"/>
      <c r="T46" s="441"/>
      <c r="U46" s="497"/>
    </row>
    <row r="47" spans="1:21" ht="15" customHeight="1" x14ac:dyDescent="0.35">
      <c r="A47" s="12"/>
      <c r="B47" s="421" t="s">
        <v>247</v>
      </c>
      <c r="C47" s="306"/>
      <c r="D47" s="280"/>
      <c r="E47" s="25">
        <v>5</v>
      </c>
      <c r="F47" s="25">
        <v>5</v>
      </c>
      <c r="H47" s="454">
        <f>AVERAGE(K47:V47)</f>
        <v>0.97962727272727268</v>
      </c>
      <c r="I47" s="528">
        <f>AVERAGE(L47:W47)</f>
        <v>0.98108000000000006</v>
      </c>
      <c r="J47" s="428">
        <v>0.98870000000000002</v>
      </c>
      <c r="K47" s="428">
        <v>0.96509999999999996</v>
      </c>
      <c r="L47" s="453">
        <v>0.98240000000000005</v>
      </c>
      <c r="M47" s="428">
        <v>0.98260000000000003</v>
      </c>
      <c r="N47" s="453">
        <v>0.9708</v>
      </c>
      <c r="O47" s="428">
        <v>0.99399999999999999</v>
      </c>
      <c r="P47" s="428">
        <v>0.97060000000000002</v>
      </c>
      <c r="Q47" s="432">
        <v>0.98860000000000003</v>
      </c>
      <c r="R47" s="300">
        <v>0.95030000000000003</v>
      </c>
      <c r="S47" s="300">
        <v>0.98309999999999997</v>
      </c>
      <c r="T47" s="300">
        <v>0.99409999999999998</v>
      </c>
      <c r="U47" s="424">
        <v>0.99429999999999996</v>
      </c>
    </row>
    <row r="48" spans="1:21" ht="15" customHeight="1" x14ac:dyDescent="0.4">
      <c r="A48" s="12"/>
      <c r="B48" s="422" t="s">
        <v>248</v>
      </c>
      <c r="C48" s="181"/>
      <c r="E48" s="395"/>
      <c r="F48" s="395"/>
      <c r="H48" s="454">
        <f>AVERAGE(K48:V48)</f>
        <v>0.95339090909090884</v>
      </c>
      <c r="I48" s="528">
        <f>AVERAGE(L48:W48)</f>
        <v>0.95716000000000001</v>
      </c>
      <c r="J48" s="425">
        <v>0.97709999999999997</v>
      </c>
      <c r="K48" s="426">
        <v>0.91569999999999996</v>
      </c>
      <c r="L48" s="453">
        <v>0.92220000000000002</v>
      </c>
      <c r="M48" s="423">
        <v>0.94669999999999999</v>
      </c>
      <c r="N48" s="453">
        <v>0.93369999999999997</v>
      </c>
      <c r="O48" s="426">
        <v>0.94610000000000005</v>
      </c>
      <c r="P48" s="426">
        <v>0.92120000000000002</v>
      </c>
      <c r="Q48" s="433">
        <v>0.93640000000000001</v>
      </c>
      <c r="R48" s="426">
        <v>0.98839999999999995</v>
      </c>
      <c r="S48" s="426">
        <v>0.98850000000000005</v>
      </c>
      <c r="T48" s="426">
        <v>0.99409999999999998</v>
      </c>
      <c r="U48" s="427">
        <v>0.99429999999999996</v>
      </c>
    </row>
    <row r="49" spans="1:21" s="126" customFormat="1" ht="16" customHeight="1" x14ac:dyDescent="0.35">
      <c r="A49" s="125"/>
      <c r="B49" s="496" t="s">
        <v>127</v>
      </c>
      <c r="C49" s="441"/>
      <c r="D49" s="441"/>
      <c r="E49" s="441"/>
      <c r="F49" s="441"/>
      <c r="G49" s="441"/>
      <c r="H49" s="441"/>
      <c r="I49" s="441"/>
      <c r="J49" s="441"/>
      <c r="K49" s="441"/>
      <c r="L49" s="441"/>
      <c r="M49" s="441"/>
      <c r="N49" s="441"/>
      <c r="O49" s="441"/>
      <c r="P49" s="441"/>
      <c r="Q49" s="441"/>
      <c r="R49" s="441"/>
      <c r="S49" s="441"/>
      <c r="T49" s="441"/>
      <c r="U49" s="497"/>
    </row>
    <row r="50" spans="1:21" ht="15" customHeight="1" x14ac:dyDescent="0.35">
      <c r="A50" s="12"/>
      <c r="B50" s="5" t="s">
        <v>126</v>
      </c>
      <c r="C50" s="306"/>
      <c r="D50" s="280"/>
      <c r="E50" s="25">
        <v>5</v>
      </c>
      <c r="F50" s="25">
        <v>5</v>
      </c>
      <c r="G50" s="124">
        <v>10</v>
      </c>
      <c r="H50" s="395">
        <f>SUM(K50:V50)</f>
        <v>8</v>
      </c>
      <c r="I50" s="395">
        <f>SUM(J50:U50)</f>
        <v>12</v>
      </c>
      <c r="J50" s="274">
        <v>4</v>
      </c>
      <c r="K50" s="27">
        <v>1</v>
      </c>
      <c r="L50" s="27">
        <v>1</v>
      </c>
      <c r="M50" s="138">
        <v>0</v>
      </c>
      <c r="N50" s="138">
        <v>0</v>
      </c>
      <c r="O50" s="27">
        <v>0</v>
      </c>
      <c r="P50" s="27">
        <v>0</v>
      </c>
      <c r="Q50" s="27">
        <v>0</v>
      </c>
      <c r="R50" s="27">
        <v>1</v>
      </c>
      <c r="S50" s="27">
        <v>4</v>
      </c>
      <c r="T50" s="27">
        <v>1</v>
      </c>
      <c r="U50" s="28">
        <v>0</v>
      </c>
    </row>
    <row r="51" spans="1:21" ht="15" customHeight="1" x14ac:dyDescent="0.35">
      <c r="A51" s="12"/>
      <c r="B51" s="18" t="s">
        <v>129</v>
      </c>
      <c r="C51" s="308"/>
      <c r="D51" s="282"/>
      <c r="E51" s="13">
        <v>19</v>
      </c>
      <c r="F51" s="13">
        <v>13</v>
      </c>
      <c r="G51" s="124">
        <v>20</v>
      </c>
      <c r="H51" s="395">
        <f>SUM(K51:V51)</f>
        <v>110</v>
      </c>
      <c r="I51" s="395">
        <f>SUM(J51:U51)</f>
        <v>112</v>
      </c>
      <c r="J51" s="274">
        <v>2</v>
      </c>
      <c r="K51" s="27">
        <v>0</v>
      </c>
      <c r="L51" s="27">
        <v>1</v>
      </c>
      <c r="M51" s="138">
        <v>0</v>
      </c>
      <c r="N51" s="27">
        <v>0</v>
      </c>
      <c r="O51" s="27">
        <v>2</v>
      </c>
      <c r="P51" s="27">
        <v>2</v>
      </c>
      <c r="Q51" s="27">
        <v>0</v>
      </c>
      <c r="R51" s="27">
        <v>0</v>
      </c>
      <c r="S51" s="27">
        <v>96</v>
      </c>
      <c r="T51" s="27">
        <v>9</v>
      </c>
      <c r="U51" s="28">
        <v>0</v>
      </c>
    </row>
    <row r="52" spans="1:21" ht="15" customHeight="1" x14ac:dyDescent="0.35">
      <c r="A52" s="12"/>
      <c r="B52" s="18" t="s">
        <v>231</v>
      </c>
      <c r="C52" s="307"/>
      <c r="D52" s="281"/>
      <c r="E52" s="26">
        <v>14</v>
      </c>
      <c r="F52" s="26">
        <v>25</v>
      </c>
      <c r="G52" s="124">
        <v>25</v>
      </c>
      <c r="H52" s="395">
        <f>SUM(K52:V52)</f>
        <v>30</v>
      </c>
      <c r="I52" s="395">
        <f>SUM(J52:U52)</f>
        <v>33</v>
      </c>
      <c r="J52" s="274">
        <v>3</v>
      </c>
      <c r="K52" s="27">
        <v>2</v>
      </c>
      <c r="L52" s="27">
        <v>1</v>
      </c>
      <c r="M52" s="138">
        <v>7</v>
      </c>
      <c r="N52" s="27">
        <v>7</v>
      </c>
      <c r="O52" s="27">
        <v>1</v>
      </c>
      <c r="P52" s="27">
        <v>1</v>
      </c>
      <c r="Q52" s="27">
        <v>4</v>
      </c>
      <c r="R52" s="27">
        <v>3</v>
      </c>
      <c r="S52" s="27">
        <v>4</v>
      </c>
      <c r="T52" s="27">
        <v>0</v>
      </c>
      <c r="U52" s="28">
        <v>0</v>
      </c>
    </row>
    <row r="53" spans="1:21" ht="15" hidden="1" customHeight="1" x14ac:dyDescent="0.35">
      <c r="A53" s="12"/>
      <c r="B53" s="18" t="s">
        <v>17</v>
      </c>
      <c r="C53" s="181"/>
      <c r="E53" s="515"/>
      <c r="F53" s="516"/>
      <c r="G53" s="525"/>
      <c r="H53" s="525"/>
      <c r="I53" s="525"/>
      <c r="J53" s="15">
        <v>28</v>
      </c>
      <c r="K53" s="16">
        <v>29</v>
      </c>
      <c r="L53" s="16">
        <v>30</v>
      </c>
      <c r="M53" s="2" t="s">
        <v>39</v>
      </c>
      <c r="N53" s="16">
        <v>36</v>
      </c>
      <c r="O53" s="358">
        <v>36</v>
      </c>
      <c r="P53" s="16">
        <v>38</v>
      </c>
      <c r="Q53" s="16">
        <v>30</v>
      </c>
      <c r="R53" s="16">
        <v>30</v>
      </c>
      <c r="S53" s="16"/>
      <c r="T53" s="16"/>
      <c r="U53" s="28"/>
    </row>
    <row r="54" spans="1:21" ht="15" hidden="1" customHeight="1" x14ac:dyDescent="0.35">
      <c r="A54" s="12"/>
      <c r="B54" s="18" t="s">
        <v>18</v>
      </c>
      <c r="C54" s="181"/>
      <c r="E54" s="515"/>
      <c r="F54" s="516"/>
      <c r="G54" s="525"/>
      <c r="H54" s="525"/>
      <c r="I54" s="525"/>
      <c r="J54" s="29">
        <v>23</v>
      </c>
      <c r="K54" s="29">
        <v>29</v>
      </c>
      <c r="L54" s="29">
        <v>21</v>
      </c>
      <c r="M54" s="2" t="s">
        <v>39</v>
      </c>
      <c r="N54" s="2" t="s">
        <v>39</v>
      </c>
      <c r="O54" s="359" t="s">
        <v>39</v>
      </c>
      <c r="P54" s="2" t="s">
        <v>39</v>
      </c>
      <c r="Q54" s="2" t="s">
        <v>39</v>
      </c>
      <c r="R54" s="29"/>
      <c r="S54" s="29"/>
      <c r="T54" s="16"/>
      <c r="U54" s="28"/>
    </row>
    <row r="55" spans="1:21" ht="15" hidden="1" customHeight="1" x14ac:dyDescent="0.35">
      <c r="A55" s="12"/>
      <c r="B55" s="18" t="s">
        <v>22</v>
      </c>
      <c r="C55" s="306"/>
      <c r="D55" s="280"/>
      <c r="E55" s="217">
        <v>52</v>
      </c>
      <c r="F55" s="218">
        <v>70</v>
      </c>
      <c r="G55" s="25">
        <f t="shared" ref="G55:I56" si="6">SUM(J55:U55)</f>
        <v>12</v>
      </c>
      <c r="H55" s="25">
        <f t="shared" si="6"/>
        <v>6</v>
      </c>
      <c r="I55" s="25">
        <f t="shared" si="6"/>
        <v>0</v>
      </c>
      <c r="J55" s="15">
        <v>6</v>
      </c>
      <c r="K55" s="16">
        <v>6</v>
      </c>
      <c r="L55" s="2" t="s">
        <v>39</v>
      </c>
      <c r="M55" s="2" t="s">
        <v>39</v>
      </c>
      <c r="N55" s="2" t="s">
        <v>39</v>
      </c>
      <c r="O55" s="359" t="s">
        <v>39</v>
      </c>
      <c r="P55" s="2" t="s">
        <v>39</v>
      </c>
      <c r="Q55" s="16">
        <v>0</v>
      </c>
      <c r="R55" s="16">
        <v>0</v>
      </c>
      <c r="S55" s="16"/>
      <c r="T55" s="16"/>
      <c r="U55" s="17"/>
    </row>
    <row r="56" spans="1:21" ht="15" hidden="1" customHeight="1" x14ac:dyDescent="0.35">
      <c r="A56" s="12"/>
      <c r="B56" s="10" t="s">
        <v>21</v>
      </c>
      <c r="C56" s="307"/>
      <c r="D56" s="281"/>
      <c r="E56" s="219">
        <v>269</v>
      </c>
      <c r="F56" s="220">
        <v>300</v>
      </c>
      <c r="G56" s="26">
        <f t="shared" si="6"/>
        <v>250</v>
      </c>
      <c r="H56" s="26">
        <f t="shared" si="6"/>
        <v>217</v>
      </c>
      <c r="I56" s="26">
        <f t="shared" si="6"/>
        <v>195</v>
      </c>
      <c r="J56" s="20">
        <v>33</v>
      </c>
      <c r="K56" s="21">
        <v>22</v>
      </c>
      <c r="L56" s="29">
        <v>17</v>
      </c>
      <c r="M56" s="29">
        <v>23</v>
      </c>
      <c r="N56" s="29">
        <v>23</v>
      </c>
      <c r="O56" s="360">
        <v>32</v>
      </c>
      <c r="P56" s="21">
        <v>30</v>
      </c>
      <c r="Q56" s="21">
        <v>34</v>
      </c>
      <c r="R56" s="21">
        <v>36</v>
      </c>
      <c r="S56" s="21"/>
      <c r="T56" s="21"/>
      <c r="U56" s="22"/>
    </row>
    <row r="57" spans="1:21" s="126" customFormat="1" ht="16" customHeight="1" x14ac:dyDescent="0.35">
      <c r="A57" s="125"/>
      <c r="B57" s="508" t="s">
        <v>279</v>
      </c>
      <c r="C57" s="509"/>
      <c r="D57" s="509"/>
      <c r="E57" s="509"/>
      <c r="F57" s="509"/>
      <c r="G57" s="509"/>
      <c r="H57" s="509"/>
      <c r="I57" s="509"/>
      <c r="J57" s="509"/>
      <c r="K57" s="509"/>
      <c r="L57" s="509"/>
      <c r="M57" s="509"/>
      <c r="N57" s="509"/>
      <c r="O57" s="509"/>
      <c r="P57" s="509"/>
      <c r="Q57" s="509"/>
      <c r="R57" s="509"/>
      <c r="S57" s="509"/>
      <c r="T57" s="509"/>
      <c r="U57" s="511"/>
    </row>
    <row r="58" spans="1:21" ht="15" customHeight="1" x14ac:dyDescent="0.35">
      <c r="A58" s="12"/>
      <c r="B58" s="5" t="s">
        <v>130</v>
      </c>
      <c r="C58" s="181"/>
      <c r="E58" s="156">
        <v>0</v>
      </c>
      <c r="F58" s="157">
        <v>988</v>
      </c>
      <c r="G58" s="154">
        <f t="shared" ref="G58:I61" si="7">SUM(J58:U58)</f>
        <v>710</v>
      </c>
      <c r="H58" s="154">
        <f t="shared" si="7"/>
        <v>647</v>
      </c>
      <c r="I58" s="532">
        <f t="shared" si="7"/>
        <v>585</v>
      </c>
      <c r="J58" s="276">
        <v>63</v>
      </c>
      <c r="K58" s="130">
        <v>62</v>
      </c>
      <c r="L58" s="130">
        <v>62</v>
      </c>
      <c r="M58" s="276">
        <v>66</v>
      </c>
      <c r="N58" s="276">
        <v>58</v>
      </c>
      <c r="O58" s="130">
        <v>59</v>
      </c>
      <c r="P58" s="130">
        <v>52</v>
      </c>
      <c r="Q58" s="130">
        <v>58</v>
      </c>
      <c r="R58" s="130">
        <v>58</v>
      </c>
      <c r="S58" s="130">
        <v>57</v>
      </c>
      <c r="T58" s="471">
        <v>56</v>
      </c>
      <c r="U58" s="472">
        <v>59</v>
      </c>
    </row>
    <row r="59" spans="1:21" ht="15" customHeight="1" x14ac:dyDescent="0.35">
      <c r="A59" s="12"/>
      <c r="B59" s="193" t="s">
        <v>131</v>
      </c>
      <c r="C59" s="311"/>
      <c r="E59" s="156">
        <v>0</v>
      </c>
      <c r="F59" s="157">
        <v>27</v>
      </c>
      <c r="G59" s="155">
        <f t="shared" si="7"/>
        <v>16</v>
      </c>
      <c r="H59" s="155">
        <f t="shared" si="7"/>
        <v>15</v>
      </c>
      <c r="I59" s="533">
        <f t="shared" si="7"/>
        <v>15</v>
      </c>
      <c r="J59" s="241">
        <v>1</v>
      </c>
      <c r="K59" s="21">
        <v>0</v>
      </c>
      <c r="L59" s="21">
        <v>1</v>
      </c>
      <c r="M59" s="241">
        <v>4</v>
      </c>
      <c r="N59" s="21">
        <v>0</v>
      </c>
      <c r="O59" s="21">
        <v>1</v>
      </c>
      <c r="P59" s="21">
        <v>1</v>
      </c>
      <c r="Q59" s="21">
        <v>5</v>
      </c>
      <c r="R59" s="21">
        <v>0</v>
      </c>
      <c r="S59" s="21">
        <v>1</v>
      </c>
      <c r="T59" s="16">
        <v>0</v>
      </c>
      <c r="U59" s="17">
        <v>2</v>
      </c>
    </row>
    <row r="60" spans="1:21" ht="15" customHeight="1" x14ac:dyDescent="0.35">
      <c r="A60" s="12"/>
      <c r="B60" s="193" t="s">
        <v>132</v>
      </c>
      <c r="C60" s="311"/>
      <c r="E60" s="156">
        <v>0</v>
      </c>
      <c r="F60" s="157">
        <v>21</v>
      </c>
      <c r="G60" s="155">
        <f t="shared" si="7"/>
        <v>19</v>
      </c>
      <c r="H60" s="155">
        <f t="shared" si="7"/>
        <v>15</v>
      </c>
      <c r="I60" s="533">
        <f t="shared" si="7"/>
        <v>14</v>
      </c>
      <c r="J60" s="241">
        <v>4</v>
      </c>
      <c r="K60" s="21">
        <v>1</v>
      </c>
      <c r="L60" s="21">
        <v>0</v>
      </c>
      <c r="M60" s="241">
        <v>0</v>
      </c>
      <c r="N60" s="21">
        <v>4</v>
      </c>
      <c r="O60" s="21">
        <v>1</v>
      </c>
      <c r="P60" s="21">
        <v>5</v>
      </c>
      <c r="Q60" s="21">
        <v>1</v>
      </c>
      <c r="R60" s="21">
        <v>1</v>
      </c>
      <c r="S60" s="21">
        <v>2</v>
      </c>
      <c r="T60" s="16">
        <v>0</v>
      </c>
      <c r="U60" s="17">
        <v>0</v>
      </c>
    </row>
    <row r="61" spans="1:21" ht="15" customHeight="1" x14ac:dyDescent="0.35">
      <c r="A61" s="12"/>
      <c r="B61" s="30" t="s">
        <v>133</v>
      </c>
      <c r="E61" s="156">
        <v>0</v>
      </c>
      <c r="F61" s="157">
        <v>195</v>
      </c>
      <c r="G61" s="155">
        <f t="shared" si="7"/>
        <v>278</v>
      </c>
      <c r="H61" s="155">
        <f t="shared" si="7"/>
        <v>261</v>
      </c>
      <c r="I61" s="533">
        <f t="shared" si="7"/>
        <v>241</v>
      </c>
      <c r="J61" s="241">
        <v>17</v>
      </c>
      <c r="K61" s="21">
        <v>20</v>
      </c>
      <c r="L61" s="21">
        <v>18</v>
      </c>
      <c r="M61" s="241">
        <v>25</v>
      </c>
      <c r="N61" s="21">
        <v>22</v>
      </c>
      <c r="O61" s="21">
        <v>22</v>
      </c>
      <c r="P61" s="21">
        <v>21</v>
      </c>
      <c r="Q61" s="21">
        <v>28</v>
      </c>
      <c r="R61" s="21">
        <v>20</v>
      </c>
      <c r="S61" s="21">
        <v>29</v>
      </c>
      <c r="T61" s="247">
        <v>24</v>
      </c>
      <c r="U61" s="473">
        <v>32</v>
      </c>
    </row>
    <row r="62" spans="1:21" s="126" customFormat="1" ht="16" customHeight="1" x14ac:dyDescent="0.35">
      <c r="A62" s="125"/>
      <c r="B62" s="496" t="s">
        <v>95</v>
      </c>
      <c r="C62" s="441"/>
      <c r="D62" s="441"/>
      <c r="E62" s="441"/>
      <c r="F62" s="441"/>
      <c r="G62" s="441"/>
      <c r="H62" s="441"/>
      <c r="I62" s="441"/>
      <c r="J62" s="441"/>
      <c r="K62" s="441"/>
      <c r="L62" s="441"/>
      <c r="M62" s="441"/>
      <c r="N62" s="441"/>
      <c r="O62" s="441"/>
      <c r="P62" s="441"/>
      <c r="Q62" s="441"/>
      <c r="R62" s="441"/>
      <c r="S62" s="441"/>
      <c r="T62" s="441"/>
      <c r="U62" s="497"/>
    </row>
    <row r="63" spans="1:21" ht="15" customHeight="1" x14ac:dyDescent="0.35">
      <c r="A63" s="12"/>
      <c r="B63" s="5" t="s">
        <v>134</v>
      </c>
      <c r="C63" s="181"/>
      <c r="E63" s="329">
        <v>2738194.7</v>
      </c>
      <c r="F63" s="39">
        <v>2602313.4900000002</v>
      </c>
      <c r="G63" s="392">
        <v>3120996.8400000003</v>
      </c>
      <c r="H63" s="39">
        <f t="shared" ref="H63:H73" si="8">SUM(J63:V63)</f>
        <v>2460249.5999999996</v>
      </c>
      <c r="I63" s="39">
        <f t="shared" ref="I63:I74" si="9">SUM(J63:U63)</f>
        <v>2460249.5999999996</v>
      </c>
      <c r="J63" s="40">
        <v>288450.14</v>
      </c>
      <c r="K63" s="42">
        <v>243638.38</v>
      </c>
      <c r="L63" s="42">
        <v>226677.18</v>
      </c>
      <c r="M63" s="272">
        <v>228342.76</v>
      </c>
      <c r="N63" s="42">
        <v>191265.8</v>
      </c>
      <c r="O63" s="42">
        <v>165332.81</v>
      </c>
      <c r="P63" s="42">
        <v>192387.49</v>
      </c>
      <c r="Q63" s="42">
        <v>198612.72</v>
      </c>
      <c r="R63" s="42">
        <v>197101.91</v>
      </c>
      <c r="S63" s="341">
        <v>195576.74</v>
      </c>
      <c r="T63" s="343">
        <v>172653.19</v>
      </c>
      <c r="U63" s="342">
        <v>160210.48000000001</v>
      </c>
    </row>
    <row r="64" spans="1:21" ht="15" customHeight="1" x14ac:dyDescent="0.35">
      <c r="A64" s="12"/>
      <c r="B64" s="18" t="s">
        <v>135</v>
      </c>
      <c r="C64" s="181"/>
      <c r="E64" s="329">
        <v>27598.720000000005</v>
      </c>
      <c r="F64" s="39">
        <v>26937.960000000003</v>
      </c>
      <c r="G64" s="392">
        <v>0</v>
      </c>
      <c r="H64" s="39">
        <f t="shared" si="8"/>
        <v>0</v>
      </c>
      <c r="I64" s="39">
        <f t="shared" si="9"/>
        <v>0</v>
      </c>
      <c r="J64" s="259">
        <v>0</v>
      </c>
      <c r="K64" s="40">
        <v>0</v>
      </c>
      <c r="L64" s="42">
        <v>0</v>
      </c>
      <c r="M64" s="42">
        <v>0</v>
      </c>
      <c r="N64" s="42">
        <v>0</v>
      </c>
      <c r="O64" s="42">
        <v>0</v>
      </c>
      <c r="P64" s="42">
        <v>0</v>
      </c>
      <c r="Q64" s="42">
        <v>0</v>
      </c>
      <c r="R64" s="42">
        <v>0</v>
      </c>
      <c r="S64" s="42">
        <v>0</v>
      </c>
      <c r="T64" s="42">
        <v>0</v>
      </c>
      <c r="U64" s="138">
        <v>0</v>
      </c>
    </row>
    <row r="65" spans="1:22" ht="15" customHeight="1" x14ac:dyDescent="0.35">
      <c r="A65" s="12"/>
      <c r="B65" s="18" t="s">
        <v>96</v>
      </c>
      <c r="C65" s="181"/>
      <c r="E65" s="329">
        <v>101712.98000000001</v>
      </c>
      <c r="F65" s="39">
        <v>118663.80000000002</v>
      </c>
      <c r="G65" s="392">
        <v>93891.540000000008</v>
      </c>
      <c r="H65" s="39">
        <f t="shared" si="8"/>
        <v>59905.25</v>
      </c>
      <c r="I65" s="39">
        <f t="shared" si="9"/>
        <v>59905.25</v>
      </c>
      <c r="J65" s="40">
        <f>7010+4300</f>
        <v>11310</v>
      </c>
      <c r="K65" s="42">
        <v>1780</v>
      </c>
      <c r="L65" s="326">
        <v>1250</v>
      </c>
      <c r="M65" s="272">
        <f>7960+4680</f>
        <v>12640</v>
      </c>
      <c r="N65" s="42">
        <v>245.25</v>
      </c>
      <c r="O65" s="42">
        <v>160</v>
      </c>
      <c r="P65" s="42">
        <f>SUM(8350+3280)</f>
        <v>11630</v>
      </c>
      <c r="Q65" s="42">
        <v>2070</v>
      </c>
      <c r="R65" s="42">
        <v>1750</v>
      </c>
      <c r="S65" s="341">
        <f>9280+5790</f>
        <v>15070</v>
      </c>
      <c r="T65" s="343">
        <v>1200</v>
      </c>
      <c r="U65" s="326">
        <v>800</v>
      </c>
    </row>
    <row r="66" spans="1:22" ht="15" customHeight="1" x14ac:dyDescent="0.35">
      <c r="A66" s="12"/>
      <c r="B66" s="10" t="s">
        <v>97</v>
      </c>
      <c r="C66" s="181"/>
      <c r="E66" s="329">
        <v>39218.49</v>
      </c>
      <c r="F66" s="39">
        <v>19580.650000000001</v>
      </c>
      <c r="G66" s="392">
        <v>40500.03</v>
      </c>
      <c r="H66" s="39">
        <f t="shared" si="8"/>
        <v>6255.43</v>
      </c>
      <c r="I66" s="39">
        <f t="shared" si="9"/>
        <v>6255.43</v>
      </c>
      <c r="J66" s="326">
        <f>435+1400.21</f>
        <v>1835.21</v>
      </c>
      <c r="K66" s="42">
        <v>15</v>
      </c>
      <c r="L66" s="42">
        <v>215</v>
      </c>
      <c r="M66" s="138">
        <v>255</v>
      </c>
      <c r="N66" s="42">
        <f>510.22+120</f>
        <v>630.22</v>
      </c>
      <c r="O66" s="326">
        <v>0</v>
      </c>
      <c r="P66" s="417">
        <v>0</v>
      </c>
      <c r="Q66" s="42">
        <v>730</v>
      </c>
      <c r="R66" s="42">
        <f>50+825</f>
        <v>875</v>
      </c>
      <c r="S66" s="326">
        <v>0</v>
      </c>
      <c r="T66" s="343">
        <f>250+1450</f>
        <v>1700</v>
      </c>
      <c r="U66" s="342">
        <v>0</v>
      </c>
    </row>
    <row r="67" spans="1:22" ht="15" customHeight="1" x14ac:dyDescent="0.35">
      <c r="A67" s="12"/>
      <c r="B67" s="5" t="s">
        <v>98</v>
      </c>
      <c r="C67" s="181"/>
      <c r="E67" s="329">
        <v>105088.07</v>
      </c>
      <c r="F67" s="39">
        <v>145806.03000000003</v>
      </c>
      <c r="G67" s="392">
        <v>214106.31</v>
      </c>
      <c r="H67" s="39">
        <f t="shared" si="8"/>
        <v>56301.950000000004</v>
      </c>
      <c r="I67" s="39">
        <f t="shared" si="9"/>
        <v>56301.950000000004</v>
      </c>
      <c r="J67" s="40">
        <v>6623.59</v>
      </c>
      <c r="K67" s="42">
        <v>6467.21</v>
      </c>
      <c r="L67" s="42">
        <f>4828.48+100</f>
        <v>4928.4799999999996</v>
      </c>
      <c r="M67" s="272">
        <v>3032.66</v>
      </c>
      <c r="N67" s="42">
        <f>310+1629.99</f>
        <v>1939.99</v>
      </c>
      <c r="O67" s="42">
        <v>1693.19</v>
      </c>
      <c r="P67" s="326">
        <v>5026.17</v>
      </c>
      <c r="Q67" s="42">
        <v>3557.01</v>
      </c>
      <c r="R67" s="326">
        <v>1459.79</v>
      </c>
      <c r="S67" s="341">
        <v>8700.24</v>
      </c>
      <c r="T67" s="343">
        <f>8307.4+11.96</f>
        <v>8319.3599999999988</v>
      </c>
      <c r="U67" s="342">
        <v>4554.26</v>
      </c>
    </row>
    <row r="68" spans="1:22" ht="15" customHeight="1" x14ac:dyDescent="0.35">
      <c r="A68" s="12"/>
      <c r="B68" s="18" t="s">
        <v>136</v>
      </c>
      <c r="C68" s="181"/>
      <c r="E68" s="329">
        <v>41296.51</v>
      </c>
      <c r="F68" s="39">
        <v>11808.15</v>
      </c>
      <c r="G68" s="392">
        <v>63008.239999999991</v>
      </c>
      <c r="H68" s="39">
        <f t="shared" si="8"/>
        <v>38012.720000000001</v>
      </c>
      <c r="I68" s="39">
        <f t="shared" si="9"/>
        <v>38012.720000000001</v>
      </c>
      <c r="J68" s="40">
        <v>2472.16</v>
      </c>
      <c r="K68" s="42">
        <v>2724.24</v>
      </c>
      <c r="L68" s="42">
        <v>8495.08</v>
      </c>
      <c r="M68" s="272">
        <v>869.54</v>
      </c>
      <c r="N68" s="259">
        <v>225</v>
      </c>
      <c r="O68" s="42">
        <v>1225</v>
      </c>
      <c r="P68" s="42">
        <v>11650</v>
      </c>
      <c r="Q68" s="42">
        <v>650</v>
      </c>
      <c r="R68" s="42">
        <v>3037</v>
      </c>
      <c r="S68" s="341">
        <v>747.04</v>
      </c>
      <c r="T68" s="470">
        <v>86.79</v>
      </c>
      <c r="U68" s="342">
        <v>5830.87</v>
      </c>
    </row>
    <row r="69" spans="1:22" ht="15" customHeight="1" x14ac:dyDescent="0.35">
      <c r="A69" s="12"/>
      <c r="B69" s="18" t="s">
        <v>137</v>
      </c>
      <c r="C69" s="181"/>
      <c r="E69" s="329">
        <v>12821.310000000001</v>
      </c>
      <c r="F69" s="39">
        <v>82654.910000000018</v>
      </c>
      <c r="G69" s="392">
        <v>26788.06</v>
      </c>
      <c r="H69" s="39">
        <f t="shared" si="8"/>
        <v>21717.78</v>
      </c>
      <c r="I69" s="39">
        <f t="shared" si="9"/>
        <v>21717.78</v>
      </c>
      <c r="J69" s="40">
        <v>912.19</v>
      </c>
      <c r="K69" s="138">
        <v>0</v>
      </c>
      <c r="L69" s="42">
        <v>623.02</v>
      </c>
      <c r="M69" s="272">
        <v>200</v>
      </c>
      <c r="N69" s="42">
        <v>115</v>
      </c>
      <c r="O69" s="42">
        <v>410.98</v>
      </c>
      <c r="P69" s="42">
        <v>0</v>
      </c>
      <c r="Q69" s="42">
        <v>0</v>
      </c>
      <c r="R69" s="42">
        <v>320</v>
      </c>
      <c r="S69" s="341">
        <v>15896.64</v>
      </c>
      <c r="T69" s="326">
        <v>2039.95</v>
      </c>
      <c r="U69" s="342">
        <v>1200</v>
      </c>
    </row>
    <row r="70" spans="1:22" ht="15" customHeight="1" x14ac:dyDescent="0.35">
      <c r="A70" s="12"/>
      <c r="B70" s="30" t="s">
        <v>138</v>
      </c>
      <c r="D70" s="287"/>
      <c r="E70" s="329">
        <v>1244</v>
      </c>
      <c r="F70" s="39">
        <v>1810</v>
      </c>
      <c r="G70" s="392">
        <v>19313</v>
      </c>
      <c r="H70" s="39">
        <f t="shared" si="8"/>
        <v>17476.64</v>
      </c>
      <c r="I70" s="39">
        <f t="shared" si="9"/>
        <v>17476.64</v>
      </c>
      <c r="J70" s="40">
        <v>0</v>
      </c>
      <c r="K70" s="40">
        <v>12727.15</v>
      </c>
      <c r="L70" s="40">
        <v>0</v>
      </c>
      <c r="M70" s="40">
        <v>0</v>
      </c>
      <c r="N70" s="40">
        <v>1130</v>
      </c>
      <c r="O70" s="40">
        <v>0</v>
      </c>
      <c r="P70" s="42">
        <v>0</v>
      </c>
      <c r="Q70" s="42">
        <v>0</v>
      </c>
      <c r="R70" s="42">
        <v>1404</v>
      </c>
      <c r="S70" s="42">
        <v>2215.4899999999998</v>
      </c>
      <c r="T70" s="42">
        <v>0</v>
      </c>
      <c r="U70" s="42">
        <v>0</v>
      </c>
    </row>
    <row r="71" spans="1:22" ht="15" hidden="1" customHeight="1" x14ac:dyDescent="0.35">
      <c r="A71" s="12"/>
      <c r="B71" s="30" t="s">
        <v>219</v>
      </c>
      <c r="D71" s="287"/>
      <c r="E71" s="329">
        <v>76144.849999999991</v>
      </c>
      <c r="F71" s="39">
        <v>70</v>
      </c>
      <c r="G71" s="392">
        <v>0</v>
      </c>
      <c r="H71" s="39">
        <f t="shared" si="8"/>
        <v>0</v>
      </c>
      <c r="I71" s="39">
        <f t="shared" si="9"/>
        <v>0</v>
      </c>
      <c r="J71" s="40"/>
      <c r="K71" s="40"/>
      <c r="L71" s="40"/>
      <c r="M71" s="40"/>
      <c r="N71" s="40"/>
      <c r="O71" s="40"/>
      <c r="P71" s="42"/>
      <c r="Q71" s="42"/>
      <c r="R71" s="42"/>
      <c r="S71" s="42"/>
      <c r="T71" s="42"/>
      <c r="U71" s="42"/>
    </row>
    <row r="72" spans="1:22" ht="15" customHeight="1" x14ac:dyDescent="0.35">
      <c r="A72" s="12"/>
      <c r="B72" s="30" t="s">
        <v>213</v>
      </c>
      <c r="D72" s="287"/>
      <c r="E72" s="329">
        <v>36777.25</v>
      </c>
      <c r="F72" s="39">
        <v>41379.12999999999</v>
      </c>
      <c r="G72" s="392">
        <v>74726.39</v>
      </c>
      <c r="H72" s="39">
        <f t="shared" si="8"/>
        <v>59977.4</v>
      </c>
      <c r="I72" s="39">
        <f t="shared" si="9"/>
        <v>59977.4</v>
      </c>
      <c r="J72" s="40">
        <v>1243</v>
      </c>
      <c r="K72" s="42">
        <v>6946.88</v>
      </c>
      <c r="L72" s="42">
        <v>5192.8999999999996</v>
      </c>
      <c r="M72" s="272">
        <v>5453.7</v>
      </c>
      <c r="N72" s="42">
        <v>1694.86</v>
      </c>
      <c r="O72" s="42">
        <v>10114.700000000001</v>
      </c>
      <c r="P72" s="42">
        <v>2116</v>
      </c>
      <c r="Q72" s="42">
        <v>1783.6</v>
      </c>
      <c r="R72" s="42">
        <v>17921.52</v>
      </c>
      <c r="S72" s="341">
        <v>1047.0999999999999</v>
      </c>
      <c r="T72" s="343">
        <v>523.14</v>
      </c>
      <c r="U72" s="342">
        <v>5940</v>
      </c>
    </row>
    <row r="73" spans="1:22" ht="15" customHeight="1" x14ac:dyDescent="0.35">
      <c r="A73" s="12"/>
      <c r="B73" s="30" t="s">
        <v>139</v>
      </c>
      <c r="D73" s="287"/>
      <c r="E73" s="329">
        <v>3106544.58</v>
      </c>
      <c r="F73" s="39">
        <v>2745272.69</v>
      </c>
      <c r="G73" s="392">
        <f>SUM(G63:G70)</f>
        <v>3578604.02</v>
      </c>
      <c r="H73" s="39">
        <f t="shared" si="8"/>
        <v>2600935.9699999997</v>
      </c>
      <c r="I73" s="39">
        <f t="shared" si="9"/>
        <v>2600935.9699999997</v>
      </c>
      <c r="J73" s="40">
        <v>310360.28999999998</v>
      </c>
      <c r="K73" s="42">
        <v>260405.1</v>
      </c>
      <c r="L73" s="42">
        <v>236995.86</v>
      </c>
      <c r="M73" s="272">
        <v>239886.26</v>
      </c>
      <c r="N73" s="42">
        <v>193856.4</v>
      </c>
      <c r="O73" s="40">
        <v>158707.28</v>
      </c>
      <c r="P73" s="42">
        <v>219571.66</v>
      </c>
      <c r="Q73" s="42">
        <v>203836.13</v>
      </c>
      <c r="R73" s="42">
        <v>188026.18</v>
      </c>
      <c r="S73" s="341">
        <v>237159.05</v>
      </c>
      <c r="T73" s="343">
        <v>185476.15</v>
      </c>
      <c r="U73" s="342">
        <v>166655.60999999999</v>
      </c>
      <c r="V73" s="43"/>
    </row>
    <row r="74" spans="1:22" ht="31.5" customHeight="1" x14ac:dyDescent="0.35">
      <c r="A74" s="12"/>
      <c r="B74" s="31" t="s">
        <v>140</v>
      </c>
      <c r="D74" s="286"/>
      <c r="E74" s="329">
        <v>11078</v>
      </c>
      <c r="F74" s="39">
        <v>1902</v>
      </c>
      <c r="G74" s="392">
        <v>0</v>
      </c>
      <c r="H74" s="39">
        <f>SUM(K74:V74)</f>
        <v>0</v>
      </c>
      <c r="I74" s="39">
        <f t="shared" si="9"/>
        <v>0</v>
      </c>
      <c r="J74" s="40">
        <v>0</v>
      </c>
      <c r="K74" s="40">
        <v>0</v>
      </c>
      <c r="L74" s="40">
        <v>0</v>
      </c>
      <c r="M74" s="40">
        <v>0</v>
      </c>
      <c r="N74" s="40">
        <v>0</v>
      </c>
      <c r="O74" s="326">
        <v>0</v>
      </c>
      <c r="P74" s="326">
        <v>0</v>
      </c>
      <c r="Q74" s="326">
        <v>0</v>
      </c>
      <c r="R74" s="326">
        <v>0</v>
      </c>
      <c r="S74" s="326">
        <v>0</v>
      </c>
      <c r="T74" s="326">
        <v>0</v>
      </c>
      <c r="U74" s="40">
        <v>0</v>
      </c>
    </row>
    <row r="75" spans="1:22" s="126" customFormat="1" ht="16" customHeight="1" x14ac:dyDescent="0.35">
      <c r="A75" s="125"/>
      <c r="B75" s="490" t="s">
        <v>23</v>
      </c>
      <c r="C75" s="491"/>
      <c r="D75" s="491"/>
      <c r="E75" s="491"/>
      <c r="F75" s="491"/>
      <c r="G75" s="491"/>
      <c r="H75" s="491"/>
      <c r="I75" s="491"/>
      <c r="J75" s="491"/>
      <c r="K75" s="491"/>
      <c r="L75" s="491"/>
      <c r="M75" s="491"/>
      <c r="N75" s="491"/>
      <c r="O75" s="491"/>
      <c r="P75" s="491"/>
      <c r="Q75" s="491"/>
      <c r="R75" s="491"/>
      <c r="S75" s="491"/>
      <c r="T75" s="491"/>
      <c r="U75" s="492"/>
    </row>
    <row r="76" spans="1:22" s="126" customFormat="1" ht="16" customHeight="1" x14ac:dyDescent="0.35">
      <c r="A76" s="125"/>
      <c r="B76" s="493" t="s">
        <v>24</v>
      </c>
      <c r="C76" s="494"/>
      <c r="D76" s="494"/>
      <c r="E76" s="494"/>
      <c r="F76" s="494"/>
      <c r="G76" s="494"/>
      <c r="H76" s="494"/>
      <c r="I76" s="494"/>
      <c r="J76" s="494"/>
      <c r="K76" s="494"/>
      <c r="L76" s="494"/>
      <c r="M76" s="494"/>
      <c r="N76" s="494"/>
      <c r="O76" s="494"/>
      <c r="P76" s="494"/>
      <c r="Q76" s="494"/>
      <c r="R76" s="494"/>
      <c r="S76" s="494"/>
      <c r="T76" s="494"/>
      <c r="U76" s="495"/>
    </row>
    <row r="77" spans="1:22" ht="15" customHeight="1" x14ac:dyDescent="0.35">
      <c r="A77" s="12"/>
      <c r="B77" s="32" t="s">
        <v>141</v>
      </c>
      <c r="C77" s="313"/>
      <c r="D77" s="280"/>
      <c r="E77" s="137">
        <v>411</v>
      </c>
      <c r="F77" s="296">
        <v>412</v>
      </c>
      <c r="G77" s="124">
        <v>503</v>
      </c>
      <c r="H77" s="395">
        <f>SUM(J77:V77)</f>
        <v>930</v>
      </c>
      <c r="I77" s="395">
        <f>SUM(J77:W77)</f>
        <v>930</v>
      </c>
      <c r="J77" s="257">
        <v>93</v>
      </c>
      <c r="K77" s="258">
        <v>65</v>
      </c>
      <c r="L77" s="100">
        <v>82</v>
      </c>
      <c r="M77" s="46">
        <v>79</v>
      </c>
      <c r="N77" s="8">
        <v>61</v>
      </c>
      <c r="O77" s="8">
        <v>93</v>
      </c>
      <c r="P77" s="8">
        <v>63</v>
      </c>
      <c r="Q77" s="8">
        <v>65</v>
      </c>
      <c r="R77" s="8">
        <v>94</v>
      </c>
      <c r="S77" s="8">
        <v>86</v>
      </c>
      <c r="T77" s="8">
        <v>58</v>
      </c>
      <c r="U77" s="9">
        <v>91</v>
      </c>
    </row>
    <row r="78" spans="1:22" ht="30.65" customHeight="1" thickBot="1" x14ac:dyDescent="0.4">
      <c r="A78" s="12"/>
      <c r="B78" s="30" t="s">
        <v>241</v>
      </c>
      <c r="C78" s="315"/>
      <c r="D78" s="282" t="s">
        <v>205</v>
      </c>
      <c r="E78" s="137">
        <v>5</v>
      </c>
      <c r="F78" s="297">
        <v>4.6666666670000003</v>
      </c>
      <c r="G78" s="412">
        <v>6.6363636363636367</v>
      </c>
      <c r="H78" s="395">
        <f>AVERAGE(J78:V78)</f>
        <v>43.083333333333336</v>
      </c>
      <c r="I78" s="395">
        <f>SUM(J78:W78)</f>
        <v>517</v>
      </c>
      <c r="J78" s="29">
        <v>54</v>
      </c>
      <c r="K78" s="8">
        <v>42</v>
      </c>
      <c r="L78" s="16">
        <v>58</v>
      </c>
      <c r="M78" s="236">
        <v>39</v>
      </c>
      <c r="N78" s="16">
        <v>42</v>
      </c>
      <c r="O78" s="16">
        <v>50</v>
      </c>
      <c r="P78" s="16">
        <v>35</v>
      </c>
      <c r="Q78" s="16">
        <v>24</v>
      </c>
      <c r="R78" s="16">
        <v>57</v>
      </c>
      <c r="S78" s="16">
        <v>45</v>
      </c>
      <c r="T78" s="16">
        <v>29</v>
      </c>
      <c r="U78" s="17">
        <v>42</v>
      </c>
    </row>
    <row r="79" spans="1:22" ht="30.65" customHeight="1" thickBot="1" x14ac:dyDescent="0.45">
      <c r="A79" s="12"/>
      <c r="B79" s="452" t="s">
        <v>278</v>
      </c>
      <c r="C79" s="315"/>
      <c r="D79" s="282" t="s">
        <v>205</v>
      </c>
      <c r="E79" s="137">
        <v>71.25</v>
      </c>
      <c r="F79" s="298">
        <v>61</v>
      </c>
      <c r="G79" s="412">
        <v>89.818181818181813</v>
      </c>
      <c r="H79" s="395">
        <f>AVERAGE(J79:V79)</f>
        <v>5.083333333333333</v>
      </c>
      <c r="I79" s="395">
        <f>SUM(J79:W79)</f>
        <v>61</v>
      </c>
      <c r="J79" s="138">
        <v>9</v>
      </c>
      <c r="K79" s="29">
        <v>10</v>
      </c>
      <c r="L79" s="29">
        <v>7</v>
      </c>
      <c r="M79" s="273">
        <v>4</v>
      </c>
      <c r="N79" s="29">
        <v>6</v>
      </c>
      <c r="O79" s="29">
        <v>7</v>
      </c>
      <c r="P79" s="29">
        <v>7</v>
      </c>
      <c r="Q79" s="29">
        <v>0</v>
      </c>
      <c r="R79" s="29">
        <v>1</v>
      </c>
      <c r="S79" s="29">
        <v>5</v>
      </c>
      <c r="T79" s="273">
        <v>1</v>
      </c>
      <c r="U79" s="35">
        <v>4</v>
      </c>
    </row>
    <row r="80" spans="1:22" ht="30.65" customHeight="1" thickBot="1" x14ac:dyDescent="0.45">
      <c r="A80" s="12"/>
      <c r="B80" s="452" t="s">
        <v>277</v>
      </c>
      <c r="C80" s="311"/>
      <c r="E80" s="158">
        <v>0</v>
      </c>
      <c r="F80" s="158">
        <v>0</v>
      </c>
      <c r="G80" s="158">
        <v>0</v>
      </c>
      <c r="H80" s="158">
        <v>0</v>
      </c>
      <c r="I80" s="529">
        <v>0</v>
      </c>
      <c r="J80" s="29">
        <v>19</v>
      </c>
      <c r="K80" s="138">
        <v>22</v>
      </c>
      <c r="L80" s="29">
        <v>23</v>
      </c>
      <c r="M80" s="273">
        <v>20</v>
      </c>
      <c r="N80" s="29">
        <v>12</v>
      </c>
      <c r="O80" s="138">
        <v>15</v>
      </c>
      <c r="P80" s="29">
        <v>15</v>
      </c>
      <c r="Q80" s="29">
        <v>13</v>
      </c>
      <c r="R80" s="29">
        <v>8</v>
      </c>
      <c r="S80" s="29">
        <v>7</v>
      </c>
      <c r="T80" s="29">
        <v>6</v>
      </c>
      <c r="U80" s="28">
        <v>7</v>
      </c>
    </row>
    <row r="81" spans="1:21" ht="30.65" customHeight="1" thickBot="1" x14ac:dyDescent="0.45">
      <c r="A81" s="12"/>
      <c r="B81" s="451" t="s">
        <v>276</v>
      </c>
      <c r="C81" s="311"/>
      <c r="E81" s="161">
        <v>0</v>
      </c>
      <c r="F81" s="161">
        <v>0</v>
      </c>
      <c r="G81" s="161">
        <v>0</v>
      </c>
      <c r="H81" s="161">
        <v>0</v>
      </c>
      <c r="I81" s="145">
        <v>0</v>
      </c>
      <c r="J81" s="29">
        <v>3</v>
      </c>
      <c r="K81" s="29">
        <v>5</v>
      </c>
      <c r="L81" s="29">
        <v>5</v>
      </c>
      <c r="M81" s="273">
        <v>6</v>
      </c>
      <c r="N81" s="29">
        <v>12</v>
      </c>
      <c r="O81" s="29">
        <v>3</v>
      </c>
      <c r="P81" s="29">
        <v>3</v>
      </c>
      <c r="Q81" s="29">
        <v>1</v>
      </c>
      <c r="R81" s="29">
        <v>6</v>
      </c>
      <c r="S81" s="29">
        <v>6</v>
      </c>
      <c r="T81" s="29">
        <v>1</v>
      </c>
      <c r="U81" s="45">
        <v>3</v>
      </c>
    </row>
    <row r="82" spans="1:21" s="126" customFormat="1" ht="30.65" customHeight="1" x14ac:dyDescent="0.35">
      <c r="A82" s="125"/>
      <c r="B82" s="496" t="s">
        <v>25</v>
      </c>
      <c r="C82" s="441"/>
      <c r="D82" s="441"/>
      <c r="E82" s="441"/>
      <c r="F82" s="441"/>
      <c r="G82" s="441"/>
      <c r="H82" s="441"/>
      <c r="I82" s="441"/>
      <c r="J82" s="441"/>
      <c r="K82" s="441"/>
      <c r="L82" s="441"/>
      <c r="M82" s="441"/>
      <c r="N82" s="441"/>
      <c r="O82" s="441"/>
      <c r="P82" s="441"/>
      <c r="Q82" s="441"/>
      <c r="R82" s="441"/>
      <c r="S82" s="441"/>
      <c r="T82" s="441"/>
      <c r="U82" s="497"/>
    </row>
    <row r="83" spans="1:21" ht="15" customHeight="1" x14ac:dyDescent="0.35">
      <c r="A83" s="12"/>
      <c r="B83" s="32" t="s">
        <v>193</v>
      </c>
      <c r="C83" s="313"/>
      <c r="D83" s="280" t="s">
        <v>205</v>
      </c>
      <c r="E83" s="137">
        <v>117</v>
      </c>
      <c r="F83" s="331">
        <v>121</v>
      </c>
      <c r="G83" s="393">
        <v>128</v>
      </c>
      <c r="H83" s="299">
        <f>AVERAGE(J83:U83)</f>
        <v>136.41666666666666</v>
      </c>
      <c r="I83" s="299">
        <f>AVERAGE(J83:V83)</f>
        <v>136.41666666666666</v>
      </c>
      <c r="J83" s="257">
        <v>137</v>
      </c>
      <c r="K83" s="263">
        <v>139</v>
      </c>
      <c r="L83" s="265">
        <v>137</v>
      </c>
      <c r="M83" s="46">
        <v>137</v>
      </c>
      <c r="N83" s="46">
        <v>138</v>
      </c>
      <c r="O83" s="46">
        <v>138</v>
      </c>
      <c r="P83" s="46">
        <v>134</v>
      </c>
      <c r="Q83" s="46">
        <v>130</v>
      </c>
      <c r="R83" s="46">
        <v>134</v>
      </c>
      <c r="S83" s="46">
        <v>136</v>
      </c>
      <c r="T83" s="46">
        <v>137</v>
      </c>
      <c r="U83" s="23">
        <v>140</v>
      </c>
    </row>
    <row r="84" spans="1:21" ht="15" customHeight="1" x14ac:dyDescent="0.35">
      <c r="A84" s="12"/>
      <c r="B84" s="193" t="s">
        <v>107</v>
      </c>
      <c r="C84" s="311"/>
      <c r="E84" s="160"/>
      <c r="F84" s="160"/>
      <c r="G84" s="160"/>
      <c r="H84" s="160"/>
      <c r="I84" s="160"/>
      <c r="J84" s="7">
        <v>1</v>
      </c>
      <c r="K84" s="27">
        <v>6</v>
      </c>
      <c r="L84" s="2">
        <v>0</v>
      </c>
      <c r="M84" s="138">
        <v>1</v>
      </c>
      <c r="N84" s="2">
        <v>2</v>
      </c>
      <c r="O84" s="2">
        <v>2</v>
      </c>
      <c r="P84" s="2">
        <v>0</v>
      </c>
      <c r="Q84" s="2">
        <v>0</v>
      </c>
      <c r="R84" s="138">
        <v>4</v>
      </c>
      <c r="S84" s="2">
        <v>5</v>
      </c>
      <c r="T84" s="2">
        <v>1</v>
      </c>
      <c r="U84" s="138">
        <v>3</v>
      </c>
    </row>
    <row r="85" spans="1:21" ht="15" customHeight="1" x14ac:dyDescent="0.35">
      <c r="A85" s="12"/>
      <c r="B85" s="192" t="s">
        <v>108</v>
      </c>
      <c r="C85" s="311"/>
      <c r="D85" s="286"/>
      <c r="E85" s="160"/>
      <c r="F85" s="160"/>
      <c r="G85" s="160"/>
      <c r="H85" s="160"/>
      <c r="I85" s="160"/>
      <c r="J85" s="7">
        <v>0</v>
      </c>
      <c r="K85" s="29">
        <v>4</v>
      </c>
      <c r="L85" s="29">
        <v>2</v>
      </c>
      <c r="M85" s="2">
        <v>1</v>
      </c>
      <c r="N85" s="29">
        <v>1</v>
      </c>
      <c r="O85" s="29">
        <v>2</v>
      </c>
      <c r="P85" s="29">
        <v>4</v>
      </c>
      <c r="Q85" s="29">
        <v>3</v>
      </c>
      <c r="R85" s="2">
        <v>1</v>
      </c>
      <c r="S85" s="29">
        <v>3</v>
      </c>
      <c r="T85" s="29">
        <v>0</v>
      </c>
      <c r="U85" s="23">
        <v>0</v>
      </c>
    </row>
    <row r="86" spans="1:21" s="126" customFormat="1" ht="16" customHeight="1" x14ac:dyDescent="0.35">
      <c r="A86" s="125"/>
      <c r="B86" s="496" t="s">
        <v>26</v>
      </c>
      <c r="C86" s="441"/>
      <c r="D86" s="441"/>
      <c r="E86" s="441"/>
      <c r="F86" s="441"/>
      <c r="G86" s="441"/>
      <c r="H86" s="441"/>
      <c r="I86" s="441"/>
      <c r="J86" s="441"/>
      <c r="K86" s="441"/>
      <c r="L86" s="441"/>
      <c r="M86" s="441"/>
      <c r="N86" s="441"/>
      <c r="O86" s="441"/>
      <c r="P86" s="441"/>
      <c r="Q86" s="441"/>
      <c r="R86" s="441"/>
      <c r="S86" s="441"/>
      <c r="T86" s="441"/>
      <c r="U86" s="497"/>
    </row>
    <row r="87" spans="1:21" ht="14.15" customHeight="1" x14ac:dyDescent="0.35">
      <c r="A87" s="12"/>
      <c r="B87" s="32" t="s">
        <v>145</v>
      </c>
      <c r="D87" s="284" t="s">
        <v>205</v>
      </c>
      <c r="E87" s="332">
        <v>122</v>
      </c>
      <c r="F87" s="330">
        <v>117</v>
      </c>
      <c r="G87" s="393">
        <v>172.72727272727272</v>
      </c>
      <c r="H87" s="299">
        <f>AVERAGE(J87:V87)</f>
        <v>284.25</v>
      </c>
      <c r="I87" s="299">
        <f>AVERAGE(J87:W87)</f>
        <v>284.25</v>
      </c>
      <c r="J87" s="7">
        <v>261</v>
      </c>
      <c r="K87" s="264">
        <v>270</v>
      </c>
      <c r="L87" s="46">
        <v>283</v>
      </c>
      <c r="M87" s="46">
        <v>275</v>
      </c>
      <c r="N87" s="46">
        <v>283</v>
      </c>
      <c r="O87" s="46">
        <v>274</v>
      </c>
      <c r="P87" s="46">
        <v>286</v>
      </c>
      <c r="Q87" s="46">
        <v>291</v>
      </c>
      <c r="R87" s="46">
        <v>287</v>
      </c>
      <c r="S87" s="46">
        <v>294</v>
      </c>
      <c r="T87" s="46">
        <v>301</v>
      </c>
      <c r="U87" s="23">
        <v>306</v>
      </c>
    </row>
    <row r="88" spans="1:21" ht="15" hidden="1" customHeight="1" x14ac:dyDescent="0.35">
      <c r="A88" s="12"/>
      <c r="B88" s="193" t="s">
        <v>107</v>
      </c>
      <c r="C88" s="311"/>
      <c r="E88" s="158">
        <v>0</v>
      </c>
      <c r="F88" s="159">
        <v>0</v>
      </c>
      <c r="G88" s="299" t="e">
        <v>#DIV/0!</v>
      </c>
      <c r="H88" s="299" t="e">
        <f>AVERAGE(J88:V88)</f>
        <v>#DIV/0!</v>
      </c>
      <c r="I88" s="299" t="e">
        <f>AVERAGE(K88:W88)</f>
        <v>#DIV/0!</v>
      </c>
      <c r="J88" s="7"/>
      <c r="K88" s="251"/>
      <c r="L88" s="46"/>
      <c r="M88" s="46"/>
      <c r="N88" s="46"/>
      <c r="O88" s="46"/>
      <c r="P88" s="46"/>
      <c r="Q88" s="46"/>
      <c r="R88" s="46"/>
      <c r="S88" s="46"/>
      <c r="T88" s="46"/>
      <c r="U88" s="23"/>
    </row>
    <row r="89" spans="1:21" ht="15" hidden="1" customHeight="1" x14ac:dyDescent="0.35">
      <c r="A89" s="12"/>
      <c r="B89" s="193" t="s">
        <v>108</v>
      </c>
      <c r="C89" s="311"/>
      <c r="E89" s="156">
        <v>0</v>
      </c>
      <c r="F89" s="157">
        <v>0</v>
      </c>
      <c r="G89" s="299" t="e">
        <v>#DIV/0!</v>
      </c>
      <c r="H89" s="299" t="e">
        <f>AVERAGE(J89:V89)</f>
        <v>#DIV/0!</v>
      </c>
      <c r="I89" s="299" t="e">
        <f>AVERAGE(K89:W89)</f>
        <v>#DIV/0!</v>
      </c>
      <c r="J89" s="7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23"/>
    </row>
    <row r="90" spans="1:21" ht="15" hidden="1" customHeight="1" x14ac:dyDescent="0.35">
      <c r="A90" s="12"/>
      <c r="B90" s="30" t="s">
        <v>109</v>
      </c>
      <c r="E90" s="161">
        <v>0</v>
      </c>
      <c r="F90" s="163">
        <v>106142.25</v>
      </c>
      <c r="G90" s="163"/>
      <c r="H90" s="299"/>
      <c r="I90" s="299"/>
      <c r="J90" s="251"/>
      <c r="K90" s="353"/>
      <c r="L90" s="354"/>
      <c r="M90" s="414"/>
      <c r="N90" s="355"/>
      <c r="O90" s="251"/>
      <c r="P90" s="251"/>
      <c r="Q90" s="251"/>
      <c r="R90" s="379"/>
      <c r="S90" s="349"/>
      <c r="T90" s="251"/>
      <c r="U90" s="380"/>
    </row>
    <row r="91" spans="1:21" ht="4" hidden="1" customHeight="1" x14ac:dyDescent="0.35">
      <c r="A91" s="12"/>
      <c r="B91" s="30" t="s">
        <v>146</v>
      </c>
      <c r="D91" s="284" t="s">
        <v>205</v>
      </c>
      <c r="E91" s="332">
        <v>188</v>
      </c>
      <c r="F91" s="299">
        <v>190</v>
      </c>
      <c r="G91" s="393">
        <v>306.90909090909093</v>
      </c>
      <c r="H91" s="299" t="e">
        <f>AVERAGE(J91:V91)</f>
        <v>#DIV/0!</v>
      </c>
      <c r="I91" s="299" t="e">
        <f>AVERAGE(K91:W91)</f>
        <v>#DIV/0!</v>
      </c>
      <c r="J91" s="411"/>
      <c r="K91" s="266"/>
      <c r="L91" s="265"/>
      <c r="M91" s="46"/>
      <c r="N91" s="46"/>
      <c r="O91" s="46"/>
      <c r="P91" s="46"/>
      <c r="Q91" s="46"/>
      <c r="R91" s="46"/>
      <c r="S91" s="46"/>
      <c r="T91" s="46"/>
      <c r="U91" s="46"/>
    </row>
    <row r="92" spans="1:21" ht="15" customHeight="1" x14ac:dyDescent="0.35">
      <c r="A92" s="12"/>
      <c r="B92" s="193" t="s">
        <v>107</v>
      </c>
      <c r="C92" s="311"/>
      <c r="E92" s="158">
        <v>0</v>
      </c>
      <c r="F92" s="159">
        <v>19</v>
      </c>
      <c r="G92" s="160">
        <v>6.9</v>
      </c>
      <c r="H92" s="160">
        <f>AVERAGE(K92:V92)</f>
        <v>8</v>
      </c>
      <c r="I92" s="530">
        <f>AVERAGE(L92:W92)</f>
        <v>7.9</v>
      </c>
      <c r="J92" s="7">
        <v>3</v>
      </c>
      <c r="K92" s="46">
        <v>9</v>
      </c>
      <c r="L92" s="46">
        <v>13</v>
      </c>
      <c r="M92" s="46">
        <v>8</v>
      </c>
      <c r="N92" s="46">
        <v>8</v>
      </c>
      <c r="O92" s="46">
        <v>4</v>
      </c>
      <c r="P92" s="46">
        <v>12</v>
      </c>
      <c r="Q92" s="46">
        <v>5</v>
      </c>
      <c r="R92" s="46">
        <v>10</v>
      </c>
      <c r="S92" s="46">
        <v>7</v>
      </c>
      <c r="T92" s="46">
        <v>7</v>
      </c>
      <c r="U92" s="23">
        <v>5</v>
      </c>
    </row>
    <row r="93" spans="1:21" ht="15" customHeight="1" x14ac:dyDescent="0.35">
      <c r="A93" s="12"/>
      <c r="B93" s="192" t="s">
        <v>108</v>
      </c>
      <c r="C93" s="311"/>
      <c r="E93" s="161">
        <v>0</v>
      </c>
      <c r="F93" s="163">
        <v>11</v>
      </c>
      <c r="G93" s="162">
        <v>4.9000000000000004</v>
      </c>
      <c r="H93" s="162">
        <f>AVERAGE(K93:V93)</f>
        <v>13</v>
      </c>
      <c r="I93" s="531">
        <f>AVERAGE(L93:W93)</f>
        <v>13.3</v>
      </c>
      <c r="J93" s="7">
        <v>12</v>
      </c>
      <c r="K93" s="46">
        <v>10</v>
      </c>
      <c r="L93" s="46">
        <v>16</v>
      </c>
      <c r="M93" s="46">
        <v>21</v>
      </c>
      <c r="N93" s="46">
        <v>9</v>
      </c>
      <c r="O93" s="46">
        <v>14</v>
      </c>
      <c r="P93" s="46">
        <v>11</v>
      </c>
      <c r="Q93" s="46">
        <v>10</v>
      </c>
      <c r="R93" s="46">
        <v>13</v>
      </c>
      <c r="S93" s="46">
        <v>8</v>
      </c>
      <c r="T93" s="46">
        <v>16</v>
      </c>
      <c r="U93" s="23">
        <v>15</v>
      </c>
    </row>
    <row r="94" spans="1:21" s="181" customFormat="1" ht="15" hidden="1" customHeight="1" x14ac:dyDescent="0.35">
      <c r="A94" s="177"/>
      <c r="B94" s="18" t="s">
        <v>19</v>
      </c>
      <c r="D94" s="284"/>
      <c r="E94" s="221"/>
      <c r="F94" s="222"/>
      <c r="G94" s="223"/>
      <c r="H94" s="223"/>
      <c r="I94" s="223"/>
      <c r="J94" s="224">
        <v>1</v>
      </c>
      <c r="K94" s="225">
        <v>0</v>
      </c>
      <c r="L94" s="226"/>
      <c r="M94" s="225"/>
      <c r="N94" s="225"/>
      <c r="O94" s="361"/>
      <c r="P94" s="225"/>
      <c r="Q94" s="225"/>
      <c r="R94" s="225"/>
      <c r="S94" s="225"/>
      <c r="T94" s="225"/>
      <c r="U94" s="227"/>
    </row>
    <row r="95" spans="1:21" s="181" customFormat="1" ht="15" hidden="1" customHeight="1" x14ac:dyDescent="0.35">
      <c r="A95" s="177"/>
      <c r="B95" s="10" t="s">
        <v>20</v>
      </c>
      <c r="D95" s="284"/>
      <c r="E95" s="221"/>
      <c r="F95" s="222"/>
      <c r="G95" s="223"/>
      <c r="H95" s="223"/>
      <c r="I95" s="223"/>
      <c r="J95" s="228">
        <v>-2</v>
      </c>
      <c r="K95" s="229">
        <v>-1</v>
      </c>
      <c r="L95" s="230"/>
      <c r="M95" s="229"/>
      <c r="N95" s="229"/>
      <c r="O95" s="362"/>
      <c r="P95" s="229"/>
      <c r="Q95" s="229"/>
      <c r="R95" s="229"/>
      <c r="S95" s="229"/>
      <c r="T95" s="229"/>
      <c r="U95" s="231"/>
    </row>
    <row r="96" spans="1:21" s="126" customFormat="1" ht="16" customHeight="1" x14ac:dyDescent="0.35">
      <c r="A96" s="125"/>
      <c r="B96" s="508" t="s">
        <v>275</v>
      </c>
      <c r="C96" s="509"/>
      <c r="D96" s="509"/>
      <c r="E96" s="509"/>
      <c r="F96" s="509"/>
      <c r="G96" s="509"/>
      <c r="H96" s="509"/>
      <c r="I96" s="509"/>
      <c r="J96" s="509"/>
      <c r="K96" s="510"/>
      <c r="L96" s="509"/>
      <c r="M96" s="509"/>
      <c r="N96" s="509"/>
      <c r="O96" s="509"/>
      <c r="P96" s="509"/>
      <c r="Q96" s="509"/>
      <c r="R96" s="509"/>
      <c r="S96" s="509"/>
      <c r="T96" s="509"/>
      <c r="U96" s="511"/>
    </row>
    <row r="97" spans="1:21" ht="32.15" customHeight="1" x14ac:dyDescent="0.35">
      <c r="A97" s="12"/>
      <c r="B97" s="464" t="s">
        <v>274</v>
      </c>
      <c r="C97" s="316"/>
      <c r="D97" s="288"/>
      <c r="E97" s="139">
        <v>1892</v>
      </c>
      <c r="F97" s="25">
        <v>2331</v>
      </c>
      <c r="G97" s="394">
        <v>2580</v>
      </c>
      <c r="H97" s="381">
        <f>SUM(J97:V97)</f>
        <v>1637</v>
      </c>
      <c r="I97" s="381">
        <f>SUM(J97:W97)</f>
        <v>1637</v>
      </c>
      <c r="J97" s="251">
        <v>150</v>
      </c>
      <c r="K97" s="349">
        <v>142</v>
      </c>
      <c r="L97" s="100">
        <v>136</v>
      </c>
      <c r="M97" s="415">
        <v>137</v>
      </c>
      <c r="N97" s="349">
        <v>137</v>
      </c>
      <c r="O97" s="265">
        <v>133</v>
      </c>
      <c r="P97" s="179">
        <v>124</v>
      </c>
      <c r="Q97" s="179">
        <v>125</v>
      </c>
      <c r="R97" s="179">
        <v>137</v>
      </c>
      <c r="S97" s="179">
        <v>136</v>
      </c>
      <c r="T97" s="179">
        <v>138</v>
      </c>
      <c r="U97" s="179">
        <v>142</v>
      </c>
    </row>
    <row r="98" spans="1:21" ht="32.15" customHeight="1" x14ac:dyDescent="0.35">
      <c r="A98" s="12"/>
      <c r="B98" s="465" t="s">
        <v>273</v>
      </c>
      <c r="C98" s="312"/>
      <c r="D98" s="285"/>
      <c r="E98" s="127"/>
      <c r="F98" s="243"/>
      <c r="G98" s="394"/>
      <c r="H98" s="381"/>
      <c r="I98" s="381">
        <f>SUM(J98:W98)</f>
        <v>1662</v>
      </c>
      <c r="J98" s="251">
        <v>133</v>
      </c>
      <c r="K98" s="349">
        <v>133</v>
      </c>
      <c r="L98" s="138">
        <v>130</v>
      </c>
      <c r="M98" s="349">
        <v>131</v>
      </c>
      <c r="N98" s="349">
        <v>129</v>
      </c>
      <c r="O98" s="265">
        <v>128</v>
      </c>
      <c r="P98" s="179">
        <v>140</v>
      </c>
      <c r="Q98" s="179">
        <v>148</v>
      </c>
      <c r="R98" s="179">
        <v>146</v>
      </c>
      <c r="S98" s="179">
        <v>149</v>
      </c>
      <c r="T98" s="179">
        <v>147</v>
      </c>
      <c r="U98" s="179">
        <v>148</v>
      </c>
    </row>
    <row r="99" spans="1:21" ht="15" customHeight="1" x14ac:dyDescent="0.35">
      <c r="A99" s="12"/>
      <c r="B99" s="466" t="s">
        <v>148</v>
      </c>
      <c r="C99" s="307"/>
      <c r="D99" s="281"/>
      <c r="E99" s="132">
        <v>2033</v>
      </c>
      <c r="F99" s="26">
        <v>2125</v>
      </c>
      <c r="G99" s="394">
        <v>2206</v>
      </c>
      <c r="H99" s="381">
        <f>SUM(J99:V99)</f>
        <v>1915</v>
      </c>
      <c r="I99" s="381">
        <f>SUM(J99:W99)</f>
        <v>1915</v>
      </c>
      <c r="J99" s="251">
        <v>151</v>
      </c>
      <c r="K99" s="349">
        <v>151</v>
      </c>
      <c r="L99" s="349">
        <v>149</v>
      </c>
      <c r="M99" s="349">
        <v>144</v>
      </c>
      <c r="N99" s="349">
        <v>140</v>
      </c>
      <c r="O99" s="265">
        <v>141</v>
      </c>
      <c r="P99" s="179">
        <v>139</v>
      </c>
      <c r="Q99" s="179">
        <v>178</v>
      </c>
      <c r="R99" s="179">
        <v>182</v>
      </c>
      <c r="S99" s="179">
        <v>180</v>
      </c>
      <c r="T99" s="179">
        <v>179</v>
      </c>
      <c r="U99" s="179">
        <v>181</v>
      </c>
    </row>
    <row r="100" spans="1:21" ht="15" customHeight="1" x14ac:dyDescent="0.4">
      <c r="A100" s="12"/>
      <c r="B100" s="18" t="s">
        <v>149</v>
      </c>
      <c r="C100" s="181"/>
      <c r="E100" s="158">
        <v>0</v>
      </c>
      <c r="F100" s="159">
        <v>2487</v>
      </c>
      <c r="G100" s="164">
        <f>SUM(J100:U100)</f>
        <v>7022</v>
      </c>
      <c r="H100" s="164">
        <f>SUM(K100:V100)</f>
        <v>6438</v>
      </c>
      <c r="I100" s="534">
        <f>SUM(L100:W100)</f>
        <v>5857</v>
      </c>
      <c r="J100" s="382">
        <v>584</v>
      </c>
      <c r="K100" s="251">
        <v>581</v>
      </c>
      <c r="L100" s="349">
        <v>667</v>
      </c>
      <c r="M100" s="16">
        <v>675</v>
      </c>
      <c r="N100" s="236">
        <v>707</v>
      </c>
      <c r="O100" s="265">
        <v>680</v>
      </c>
      <c r="P100" s="179">
        <v>645</v>
      </c>
      <c r="Q100" s="179">
        <v>624</v>
      </c>
      <c r="R100" s="179">
        <v>555</v>
      </c>
      <c r="S100" s="179">
        <v>561</v>
      </c>
      <c r="T100" s="179">
        <v>427</v>
      </c>
      <c r="U100" s="179">
        <v>316</v>
      </c>
    </row>
    <row r="101" spans="1:21" ht="15" hidden="1" customHeight="1" x14ac:dyDescent="0.35">
      <c r="A101" s="12"/>
      <c r="B101" s="232" t="s">
        <v>19</v>
      </c>
      <c r="C101" s="317"/>
      <c r="E101" s="233"/>
      <c r="F101" s="234"/>
      <c r="G101" s="235"/>
      <c r="H101" s="235"/>
      <c r="I101" s="235"/>
      <c r="J101" s="15">
        <v>13</v>
      </c>
      <c r="K101" s="8"/>
      <c r="L101" s="16"/>
      <c r="M101" s="16"/>
      <c r="N101" s="16"/>
      <c r="O101" s="358"/>
      <c r="P101" s="16"/>
      <c r="Q101" s="16"/>
      <c r="R101" s="16"/>
      <c r="S101" s="16"/>
      <c r="T101" s="236"/>
      <c r="U101" s="28"/>
    </row>
    <row r="102" spans="1:21" ht="15" hidden="1" customHeight="1" x14ac:dyDescent="0.35">
      <c r="A102" s="12"/>
      <c r="B102" s="237" t="s">
        <v>20</v>
      </c>
      <c r="C102" s="317"/>
      <c r="E102" s="238"/>
      <c r="F102" s="239"/>
      <c r="G102" s="240"/>
      <c r="H102" s="240"/>
      <c r="I102" s="240"/>
      <c r="J102" s="20">
        <v>-208</v>
      </c>
      <c r="K102" s="21"/>
      <c r="L102" s="21"/>
      <c r="M102" s="21"/>
      <c r="N102" s="21"/>
      <c r="O102" s="41"/>
      <c r="P102" s="21"/>
      <c r="Q102" s="21"/>
      <c r="R102" s="21"/>
      <c r="S102" s="21"/>
      <c r="T102" s="241"/>
      <c r="U102" s="45"/>
    </row>
    <row r="103" spans="1:21" ht="15" hidden="1" customHeight="1" x14ac:dyDescent="0.35">
      <c r="A103" s="12"/>
      <c r="B103" s="512" t="s">
        <v>42</v>
      </c>
      <c r="C103" s="513"/>
      <c r="D103" s="513"/>
      <c r="E103" s="513"/>
      <c r="F103" s="513"/>
      <c r="G103" s="513"/>
      <c r="H103" s="513"/>
      <c r="I103" s="513"/>
      <c r="J103" s="513"/>
      <c r="K103" s="513"/>
      <c r="L103" s="513"/>
      <c r="M103" s="513"/>
      <c r="N103" s="513"/>
      <c r="O103" s="513"/>
      <c r="P103" s="513"/>
      <c r="Q103" s="513"/>
      <c r="R103" s="513"/>
      <c r="S103" s="513"/>
      <c r="T103" s="513"/>
      <c r="U103" s="514"/>
    </row>
    <row r="104" spans="1:21" ht="15" hidden="1" customHeight="1" x14ac:dyDescent="0.35">
      <c r="A104" s="12"/>
      <c r="B104" s="242" t="s">
        <v>43</v>
      </c>
      <c r="C104" s="181"/>
      <c r="E104" s="233"/>
      <c r="F104" s="234"/>
      <c r="G104" s="243">
        <v>17</v>
      </c>
      <c r="H104" s="243">
        <v>17</v>
      </c>
      <c r="I104" s="243">
        <v>17</v>
      </c>
      <c r="J104" s="100">
        <v>17</v>
      </c>
      <c r="K104" s="8"/>
      <c r="L104" s="8"/>
      <c r="M104" s="8"/>
      <c r="N104" s="8"/>
      <c r="O104" s="268"/>
      <c r="P104" s="8"/>
      <c r="Q104" s="8"/>
      <c r="R104" s="8"/>
      <c r="S104" s="8"/>
      <c r="T104" s="46"/>
      <c r="U104" s="28"/>
    </row>
    <row r="105" spans="1:21" ht="15" hidden="1" customHeight="1" x14ac:dyDescent="0.35">
      <c r="A105" s="12"/>
      <c r="B105" s="244" t="s">
        <v>44</v>
      </c>
      <c r="C105" s="318"/>
      <c r="D105" s="289"/>
      <c r="E105" s="238"/>
      <c r="F105" s="239"/>
      <c r="G105" s="245">
        <v>23</v>
      </c>
      <c r="H105" s="245">
        <v>23</v>
      </c>
      <c r="I105" s="245">
        <v>23</v>
      </c>
      <c r="J105" s="246">
        <v>23</v>
      </c>
      <c r="K105" s="247"/>
      <c r="L105" s="247"/>
      <c r="M105" s="247"/>
      <c r="N105" s="247"/>
      <c r="O105" s="363"/>
      <c r="P105" s="247"/>
      <c r="Q105" s="247"/>
      <c r="R105" s="247"/>
      <c r="S105" s="247"/>
      <c r="T105" s="248"/>
      <c r="U105" s="249"/>
    </row>
    <row r="106" spans="1:21" s="126" customFormat="1" ht="12" customHeight="1" x14ac:dyDescent="0.35">
      <c r="A106" s="125"/>
      <c r="B106" s="496" t="s">
        <v>27</v>
      </c>
      <c r="C106" s="441"/>
      <c r="D106" s="441"/>
      <c r="E106" s="441"/>
      <c r="F106" s="441"/>
      <c r="G106" s="441"/>
      <c r="H106" s="441"/>
      <c r="I106" s="441"/>
      <c r="J106" s="441"/>
      <c r="K106" s="441"/>
      <c r="L106" s="441"/>
      <c r="M106" s="441"/>
      <c r="N106" s="441"/>
      <c r="O106" s="441"/>
      <c r="P106" s="441"/>
      <c r="Q106" s="441"/>
      <c r="R106" s="441"/>
      <c r="S106" s="441"/>
      <c r="T106" s="441"/>
      <c r="U106" s="497"/>
    </row>
    <row r="107" spans="1:21" s="181" customFormat="1" ht="24" customHeight="1" x14ac:dyDescent="0.35">
      <c r="A107" s="177"/>
      <c r="B107" s="5" t="s">
        <v>150</v>
      </c>
      <c r="C107" s="306"/>
      <c r="D107" s="280"/>
      <c r="E107" s="142">
        <v>2025</v>
      </c>
      <c r="F107" s="143">
        <v>2175</v>
      </c>
      <c r="G107" s="391">
        <v>1299</v>
      </c>
      <c r="H107" s="6">
        <f t="shared" ref="H107:H115" si="10">SUM(K107:V107)</f>
        <v>989</v>
      </c>
      <c r="I107" s="6">
        <f t="shared" ref="I107:I115" si="11">SUM(J107:U107)</f>
        <v>1123</v>
      </c>
      <c r="J107" s="178">
        <v>134</v>
      </c>
      <c r="K107" s="179">
        <v>106</v>
      </c>
      <c r="L107" s="179">
        <v>100</v>
      </c>
      <c r="M107" s="179">
        <v>71</v>
      </c>
      <c r="N107" s="179">
        <v>48</v>
      </c>
      <c r="O107" s="265">
        <v>52</v>
      </c>
      <c r="P107" s="179">
        <v>61</v>
      </c>
      <c r="Q107" s="179">
        <v>86</v>
      </c>
      <c r="R107" s="179">
        <v>62</v>
      </c>
      <c r="S107" s="179">
        <v>175</v>
      </c>
      <c r="T107" s="179">
        <v>163</v>
      </c>
      <c r="U107" s="180">
        <v>65</v>
      </c>
    </row>
    <row r="108" spans="1:21" s="181" customFormat="1" ht="24" customHeight="1" x14ac:dyDescent="0.35">
      <c r="A108" s="177"/>
      <c r="B108" s="193" t="s">
        <v>151</v>
      </c>
      <c r="C108" s="314"/>
      <c r="D108" s="282"/>
      <c r="E108" s="142">
        <v>1490</v>
      </c>
      <c r="F108" s="143">
        <v>1583</v>
      </c>
      <c r="G108" s="396">
        <v>799</v>
      </c>
      <c r="H108" s="19">
        <f t="shared" si="10"/>
        <v>294</v>
      </c>
      <c r="I108" s="6">
        <f t="shared" si="11"/>
        <v>346</v>
      </c>
      <c r="J108" s="178">
        <v>52</v>
      </c>
      <c r="K108" s="179">
        <v>28</v>
      </c>
      <c r="L108" s="179">
        <v>3</v>
      </c>
      <c r="M108" s="179">
        <v>2</v>
      </c>
      <c r="N108" s="179">
        <v>5</v>
      </c>
      <c r="O108" s="265">
        <v>7</v>
      </c>
      <c r="P108" s="179">
        <v>7</v>
      </c>
      <c r="Q108" s="179">
        <v>9</v>
      </c>
      <c r="R108" s="179">
        <v>9</v>
      </c>
      <c r="S108" s="179">
        <v>110</v>
      </c>
      <c r="T108" s="179">
        <v>95</v>
      </c>
      <c r="U108" s="180">
        <v>19</v>
      </c>
    </row>
    <row r="109" spans="1:21" s="181" customFormat="1" ht="24" customHeight="1" x14ac:dyDescent="0.35">
      <c r="A109" s="177"/>
      <c r="B109" s="193" t="s">
        <v>152</v>
      </c>
      <c r="C109" s="314"/>
      <c r="D109" s="282"/>
      <c r="E109" s="142">
        <v>24</v>
      </c>
      <c r="F109" s="143">
        <v>26</v>
      </c>
      <c r="G109" s="396">
        <v>8</v>
      </c>
      <c r="H109" s="19">
        <f t="shared" si="10"/>
        <v>1</v>
      </c>
      <c r="I109" s="6">
        <f t="shared" si="11"/>
        <v>2</v>
      </c>
      <c r="J109" s="178">
        <v>1</v>
      </c>
      <c r="K109" s="179">
        <v>0</v>
      </c>
      <c r="L109" s="179">
        <v>0</v>
      </c>
      <c r="M109" s="179">
        <v>1</v>
      </c>
      <c r="N109" s="179">
        <v>0</v>
      </c>
      <c r="O109" s="179">
        <v>0</v>
      </c>
      <c r="P109" s="179">
        <v>0</v>
      </c>
      <c r="Q109" s="179">
        <v>0</v>
      </c>
      <c r="R109" s="179">
        <v>0</v>
      </c>
      <c r="S109" s="179">
        <v>0</v>
      </c>
      <c r="T109" s="179">
        <v>0</v>
      </c>
      <c r="U109" s="180">
        <v>0</v>
      </c>
    </row>
    <row r="110" spans="1:21" s="181" customFormat="1" ht="24" customHeight="1" x14ac:dyDescent="0.35">
      <c r="A110" s="177"/>
      <c r="B110" s="193" t="s">
        <v>153</v>
      </c>
      <c r="C110" s="314"/>
      <c r="D110" s="282"/>
      <c r="E110" s="142">
        <v>5</v>
      </c>
      <c r="F110" s="143">
        <v>7</v>
      </c>
      <c r="G110" s="396">
        <v>2</v>
      </c>
      <c r="H110" s="19">
        <f t="shared" si="10"/>
        <v>1</v>
      </c>
      <c r="I110" s="6">
        <f t="shared" si="11"/>
        <v>4</v>
      </c>
      <c r="J110" s="337">
        <v>3</v>
      </c>
      <c r="K110" s="179">
        <v>0</v>
      </c>
      <c r="L110" s="179">
        <v>0</v>
      </c>
      <c r="M110" s="179">
        <v>1</v>
      </c>
      <c r="N110" s="179">
        <v>0</v>
      </c>
      <c r="O110" s="179">
        <v>0</v>
      </c>
      <c r="P110" s="179">
        <v>0</v>
      </c>
      <c r="Q110" s="179">
        <v>0</v>
      </c>
      <c r="R110" s="179">
        <v>0</v>
      </c>
      <c r="S110" s="179">
        <v>0</v>
      </c>
      <c r="T110" s="179">
        <v>0</v>
      </c>
      <c r="U110" s="180">
        <v>0</v>
      </c>
    </row>
    <row r="111" spans="1:21" s="181" customFormat="1" ht="24" customHeight="1" x14ac:dyDescent="0.35">
      <c r="A111" s="177"/>
      <c r="B111" s="193" t="s">
        <v>154</v>
      </c>
      <c r="C111" s="314"/>
      <c r="D111" s="282"/>
      <c r="E111" s="142">
        <v>266</v>
      </c>
      <c r="F111" s="143">
        <v>307</v>
      </c>
      <c r="G111" s="396">
        <v>336</v>
      </c>
      <c r="H111" s="19">
        <f t="shared" si="10"/>
        <v>461</v>
      </c>
      <c r="I111" s="6">
        <f t="shared" si="11"/>
        <v>512</v>
      </c>
      <c r="J111" s="138">
        <v>51</v>
      </c>
      <c r="K111" s="179">
        <v>49</v>
      </c>
      <c r="L111" s="179">
        <v>67</v>
      </c>
      <c r="M111" s="179">
        <v>47</v>
      </c>
      <c r="N111" s="179">
        <v>31</v>
      </c>
      <c r="O111" s="265">
        <v>26</v>
      </c>
      <c r="P111" s="179">
        <v>40</v>
      </c>
      <c r="Q111" s="179">
        <v>51</v>
      </c>
      <c r="R111" s="179">
        <v>39</v>
      </c>
      <c r="S111" s="179">
        <v>38</v>
      </c>
      <c r="T111" s="179">
        <v>45</v>
      </c>
      <c r="U111" s="180">
        <v>28</v>
      </c>
    </row>
    <row r="112" spans="1:21" s="181" customFormat="1" ht="24" customHeight="1" x14ac:dyDescent="0.35">
      <c r="A112" s="177"/>
      <c r="B112" s="193" t="s">
        <v>155</v>
      </c>
      <c r="C112" s="314"/>
      <c r="D112" s="282"/>
      <c r="E112" s="142">
        <v>39</v>
      </c>
      <c r="F112" s="143">
        <v>41</v>
      </c>
      <c r="G112" s="396">
        <v>58</v>
      </c>
      <c r="H112" s="19">
        <f t="shared" si="10"/>
        <v>86</v>
      </c>
      <c r="I112" s="6">
        <f t="shared" si="11"/>
        <v>88</v>
      </c>
      <c r="J112" s="178">
        <v>2</v>
      </c>
      <c r="K112" s="179">
        <v>5</v>
      </c>
      <c r="L112" s="179">
        <v>8</v>
      </c>
      <c r="M112" s="179">
        <v>4</v>
      </c>
      <c r="N112" s="179">
        <v>6</v>
      </c>
      <c r="O112" s="265">
        <v>9</v>
      </c>
      <c r="P112" s="179">
        <v>4</v>
      </c>
      <c r="Q112" s="179">
        <v>8</v>
      </c>
      <c r="R112" s="179">
        <v>7</v>
      </c>
      <c r="S112" s="179">
        <v>14</v>
      </c>
      <c r="T112" s="179">
        <v>10</v>
      </c>
      <c r="U112" s="180">
        <v>11</v>
      </c>
    </row>
    <row r="113" spans="1:21" s="181" customFormat="1" ht="24" customHeight="1" x14ac:dyDescent="0.35">
      <c r="A113" s="177"/>
      <c r="B113" s="193" t="s">
        <v>156</v>
      </c>
      <c r="C113" s="314"/>
      <c r="D113" s="282"/>
      <c r="E113" s="142">
        <v>34</v>
      </c>
      <c r="F113" s="143">
        <v>37</v>
      </c>
      <c r="G113" s="396">
        <v>36</v>
      </c>
      <c r="H113" s="19">
        <f t="shared" si="10"/>
        <v>50</v>
      </c>
      <c r="I113" s="6">
        <f t="shared" si="11"/>
        <v>55</v>
      </c>
      <c r="J113" s="178">
        <v>5</v>
      </c>
      <c r="K113" s="138">
        <v>12</v>
      </c>
      <c r="L113" s="179">
        <v>8</v>
      </c>
      <c r="M113" s="179">
        <v>6</v>
      </c>
      <c r="N113" s="179">
        <v>0</v>
      </c>
      <c r="O113" s="179">
        <v>3</v>
      </c>
      <c r="P113" s="179">
        <v>1</v>
      </c>
      <c r="Q113" s="179">
        <v>2</v>
      </c>
      <c r="R113" s="179">
        <v>3</v>
      </c>
      <c r="S113" s="179">
        <v>5</v>
      </c>
      <c r="T113" s="179">
        <v>6</v>
      </c>
      <c r="U113" s="180">
        <v>4</v>
      </c>
    </row>
    <row r="114" spans="1:21" s="181" customFormat="1" ht="24" customHeight="1" x14ac:dyDescent="0.35">
      <c r="A114" s="177"/>
      <c r="B114" s="191" t="s">
        <v>157</v>
      </c>
      <c r="C114" s="309"/>
      <c r="D114" s="283"/>
      <c r="E114" s="142">
        <v>130</v>
      </c>
      <c r="F114" s="143">
        <v>133</v>
      </c>
      <c r="G114" s="396">
        <v>37</v>
      </c>
      <c r="H114" s="19">
        <f t="shared" si="10"/>
        <v>33</v>
      </c>
      <c r="I114" s="6">
        <f t="shared" si="11"/>
        <v>43</v>
      </c>
      <c r="J114" s="178">
        <v>10</v>
      </c>
      <c r="K114" s="179">
        <v>3</v>
      </c>
      <c r="L114" s="179">
        <v>3</v>
      </c>
      <c r="M114" s="179">
        <v>2</v>
      </c>
      <c r="N114" s="179">
        <v>1</v>
      </c>
      <c r="O114" s="265">
        <v>1</v>
      </c>
      <c r="P114" s="179">
        <v>3</v>
      </c>
      <c r="Q114" s="179">
        <v>1</v>
      </c>
      <c r="R114" s="179">
        <v>2</v>
      </c>
      <c r="S114" s="179">
        <v>7</v>
      </c>
      <c r="T114" s="179">
        <v>7</v>
      </c>
      <c r="U114" s="180">
        <v>3</v>
      </c>
    </row>
    <row r="115" spans="1:21" s="181" customFormat="1" ht="24" customHeight="1" x14ac:dyDescent="0.35">
      <c r="A115" s="177"/>
      <c r="B115" s="190" t="s">
        <v>158</v>
      </c>
      <c r="C115" s="319"/>
      <c r="D115" s="290"/>
      <c r="E115" s="142">
        <v>37</v>
      </c>
      <c r="F115" s="143">
        <v>41</v>
      </c>
      <c r="G115" s="397">
        <v>28</v>
      </c>
      <c r="H115" s="38">
        <f t="shared" si="10"/>
        <v>62</v>
      </c>
      <c r="I115" s="6">
        <f t="shared" si="11"/>
        <v>72</v>
      </c>
      <c r="J115" s="178">
        <v>10</v>
      </c>
      <c r="K115" s="179">
        <v>9</v>
      </c>
      <c r="L115" s="179">
        <v>11</v>
      </c>
      <c r="M115" s="179">
        <v>8</v>
      </c>
      <c r="N115" s="179">
        <v>5</v>
      </c>
      <c r="O115" s="265">
        <v>6</v>
      </c>
      <c r="P115" s="179">
        <v>6</v>
      </c>
      <c r="Q115" s="179">
        <v>15</v>
      </c>
      <c r="R115" s="179">
        <v>1</v>
      </c>
      <c r="S115" s="179">
        <v>1</v>
      </c>
      <c r="T115" s="179">
        <v>0</v>
      </c>
      <c r="U115" s="180">
        <v>0</v>
      </c>
    </row>
    <row r="116" spans="1:21" s="126" customFormat="1" ht="16" customHeight="1" x14ac:dyDescent="0.35">
      <c r="A116" s="125"/>
      <c r="B116" s="498" t="s">
        <v>102</v>
      </c>
      <c r="C116" s="500"/>
      <c r="D116" s="500"/>
      <c r="E116" s="500"/>
      <c r="F116" s="500"/>
      <c r="G116" s="500"/>
      <c r="H116" s="500"/>
      <c r="I116" s="500"/>
      <c r="J116" s="500"/>
      <c r="K116" s="500"/>
      <c r="L116" s="500"/>
      <c r="M116" s="500"/>
      <c r="N116" s="500"/>
      <c r="O116" s="500"/>
      <c r="P116" s="500"/>
      <c r="Q116" s="500"/>
      <c r="R116" s="500"/>
      <c r="S116" s="500"/>
      <c r="T116" s="500"/>
      <c r="U116" s="501"/>
    </row>
    <row r="117" spans="1:21" s="126" customFormat="1" ht="16" customHeight="1" x14ac:dyDescent="0.35">
      <c r="A117" s="125"/>
      <c r="B117" s="505"/>
      <c r="C117" s="506"/>
      <c r="D117" s="506"/>
      <c r="E117" s="506"/>
      <c r="F117" s="506"/>
      <c r="G117" s="506"/>
      <c r="H117" s="506"/>
      <c r="I117" s="506"/>
      <c r="J117" s="506"/>
      <c r="K117" s="506"/>
      <c r="L117" s="506"/>
      <c r="M117" s="506"/>
      <c r="N117" s="506"/>
      <c r="O117" s="506"/>
      <c r="P117" s="506"/>
      <c r="Q117" s="506"/>
      <c r="R117" s="506"/>
      <c r="S117" s="506"/>
      <c r="T117" s="506"/>
      <c r="U117" s="507"/>
    </row>
    <row r="118" spans="1:21" ht="15" customHeight="1" x14ac:dyDescent="0.35">
      <c r="A118" s="12"/>
      <c r="B118" s="18" t="s">
        <v>159</v>
      </c>
      <c r="C118" s="181"/>
      <c r="D118" s="325" t="s">
        <v>205</v>
      </c>
      <c r="E118" s="344">
        <v>120.41666666666667</v>
      </c>
      <c r="F118" s="344">
        <v>102</v>
      </c>
      <c r="G118" s="327">
        <v>83.083333333333329</v>
      </c>
      <c r="H118" s="147">
        <f>AVERAGE(J118:U118)</f>
        <v>58.5</v>
      </c>
      <c r="I118" s="147">
        <f>AVERAGE(J118:V118)</f>
        <v>58.5</v>
      </c>
      <c r="J118" s="48">
        <v>59</v>
      </c>
      <c r="K118" s="260">
        <v>60</v>
      </c>
      <c r="L118" s="49">
        <v>59</v>
      </c>
      <c r="M118" s="49">
        <v>61</v>
      </c>
      <c r="N118" s="49">
        <v>60</v>
      </c>
      <c r="O118" s="4">
        <v>65</v>
      </c>
      <c r="P118" s="49">
        <v>58</v>
      </c>
      <c r="Q118" s="49">
        <v>61</v>
      </c>
      <c r="R118" s="49">
        <v>59</v>
      </c>
      <c r="S118" s="49">
        <v>59</v>
      </c>
      <c r="T118" s="49">
        <v>56</v>
      </c>
      <c r="U118" s="49">
        <v>45</v>
      </c>
    </row>
    <row r="119" spans="1:21" ht="15" customHeight="1" x14ac:dyDescent="0.35">
      <c r="A119" s="12"/>
      <c r="B119" s="18" t="s">
        <v>160</v>
      </c>
      <c r="C119" s="181"/>
      <c r="D119" s="325" t="s">
        <v>205</v>
      </c>
      <c r="E119" s="335">
        <v>33.75</v>
      </c>
      <c r="F119" s="344">
        <v>12</v>
      </c>
      <c r="G119" s="327">
        <v>23.583333333333332</v>
      </c>
      <c r="H119" s="147">
        <f>AVERAGE(J119:U119)</f>
        <v>32</v>
      </c>
      <c r="I119" s="147">
        <f>AVERAGE(J119:V119)</f>
        <v>32</v>
      </c>
      <c r="J119" s="48">
        <v>32</v>
      </c>
      <c r="K119" s="48">
        <v>32</v>
      </c>
      <c r="L119" s="49">
        <v>32</v>
      </c>
      <c r="M119" s="49">
        <v>32</v>
      </c>
      <c r="N119" s="49">
        <v>32</v>
      </c>
      <c r="O119" s="4">
        <v>32</v>
      </c>
      <c r="P119" s="49">
        <v>32</v>
      </c>
      <c r="Q119" s="49">
        <v>32</v>
      </c>
      <c r="R119" s="49">
        <v>32</v>
      </c>
      <c r="S119" s="49">
        <v>32</v>
      </c>
      <c r="T119" s="49">
        <v>32</v>
      </c>
      <c r="U119" s="49">
        <v>32</v>
      </c>
    </row>
    <row r="120" spans="1:21" ht="33" customHeight="1" x14ac:dyDescent="0.4">
      <c r="A120" s="12"/>
      <c r="B120" s="30" t="s">
        <v>161</v>
      </c>
      <c r="D120" s="325" t="s">
        <v>205</v>
      </c>
      <c r="E120" s="335">
        <v>1330.2857142857142</v>
      </c>
      <c r="F120" s="344">
        <v>103.16666666666667</v>
      </c>
      <c r="G120" s="327">
        <f>AVERAGE(J120:U120)</f>
        <v>97.142857142857139</v>
      </c>
      <c r="H120" s="147">
        <f>AVERAGE(J120:U120)</f>
        <v>97.142857142857139</v>
      </c>
      <c r="I120" s="147">
        <f>AVERAGE(J120:V120)</f>
        <v>97.142857142857139</v>
      </c>
      <c r="J120" s="382">
        <v>66</v>
      </c>
      <c r="K120" s="382">
        <v>119</v>
      </c>
      <c r="L120" s="382">
        <v>185</v>
      </c>
      <c r="M120" s="463">
        <v>184</v>
      </c>
      <c r="N120" s="463">
        <v>74</v>
      </c>
      <c r="O120" s="463">
        <v>21</v>
      </c>
      <c r="P120" s="463">
        <v>31</v>
      </c>
      <c r="Q120" s="49" t="s">
        <v>41</v>
      </c>
      <c r="R120" s="49" t="s">
        <v>41</v>
      </c>
      <c r="S120" s="49" t="s">
        <v>41</v>
      </c>
      <c r="T120" s="49" t="s">
        <v>41</v>
      </c>
      <c r="U120" s="49" t="s">
        <v>41</v>
      </c>
    </row>
    <row r="121" spans="1:21" ht="19.5" hidden="1" customHeight="1" x14ac:dyDescent="0.35">
      <c r="A121" s="12"/>
      <c r="B121" s="193" t="s">
        <v>107</v>
      </c>
      <c r="C121" s="311"/>
      <c r="E121" s="165">
        <v>0</v>
      </c>
      <c r="F121" s="166">
        <v>403</v>
      </c>
      <c r="G121" s="147">
        <f>AVERAGEIF(J121:U121,"&lt;&gt;0")</f>
        <v>74.400000000000006</v>
      </c>
      <c r="H121" s="147">
        <f>AVERAGEIF(K121:V121,"&lt;&gt;0")</f>
        <v>60.5</v>
      </c>
      <c r="I121" s="147">
        <f>AVERAGEIF(L121:W121,"&lt;&gt;0")</f>
        <v>60.5</v>
      </c>
      <c r="J121" s="48">
        <v>130</v>
      </c>
      <c r="K121" s="260" t="s">
        <v>41</v>
      </c>
      <c r="L121" s="49">
        <v>73</v>
      </c>
      <c r="M121" s="49">
        <v>90</v>
      </c>
      <c r="N121" s="49">
        <v>30</v>
      </c>
      <c r="O121" s="364">
        <v>49</v>
      </c>
      <c r="P121" s="49">
        <v>0</v>
      </c>
      <c r="Q121" s="49">
        <v>0</v>
      </c>
      <c r="R121" s="49">
        <v>0</v>
      </c>
      <c r="S121" s="49">
        <v>0</v>
      </c>
      <c r="T121" s="49">
        <v>0</v>
      </c>
      <c r="U121" s="51">
        <v>0</v>
      </c>
    </row>
    <row r="122" spans="1:21" ht="19.5" hidden="1" customHeight="1" x14ac:dyDescent="0.35">
      <c r="A122" s="12"/>
      <c r="B122" s="192" t="s">
        <v>108</v>
      </c>
      <c r="C122" s="311"/>
      <c r="E122" s="165">
        <v>0</v>
      </c>
      <c r="F122" s="166">
        <v>2006</v>
      </c>
      <c r="G122" s="148">
        <f>SUM(J122:U122)</f>
        <v>0</v>
      </c>
      <c r="H122" s="148">
        <f>SUM(K122:V122)</f>
        <v>0</v>
      </c>
      <c r="I122" s="148">
        <f>SUM(L122:W122)</f>
        <v>0</v>
      </c>
      <c r="J122" s="48">
        <v>0</v>
      </c>
      <c r="K122" s="261" t="s">
        <v>41</v>
      </c>
      <c r="L122" s="52" t="s">
        <v>41</v>
      </c>
      <c r="M122" s="52" t="s">
        <v>41</v>
      </c>
      <c r="N122" s="52" t="s">
        <v>41</v>
      </c>
      <c r="O122" s="365" t="s">
        <v>41</v>
      </c>
      <c r="P122" s="52">
        <v>0</v>
      </c>
      <c r="Q122" s="52">
        <v>0</v>
      </c>
      <c r="R122" s="52">
        <v>0</v>
      </c>
      <c r="S122" s="52">
        <v>0</v>
      </c>
      <c r="T122" s="52">
        <v>0</v>
      </c>
      <c r="U122" s="51">
        <v>0</v>
      </c>
    </row>
    <row r="123" spans="1:21" s="126" customFormat="1" ht="16" customHeight="1" x14ac:dyDescent="0.35">
      <c r="A123" s="125"/>
      <c r="B123" s="484" t="s">
        <v>165</v>
      </c>
      <c r="C123" s="485"/>
      <c r="D123" s="485"/>
      <c r="E123" s="485"/>
      <c r="F123" s="485"/>
      <c r="G123" s="485"/>
      <c r="H123" s="485"/>
      <c r="I123" s="485"/>
      <c r="J123" s="485"/>
      <c r="K123" s="485"/>
      <c r="L123" s="485"/>
      <c r="M123" s="485"/>
      <c r="N123" s="485"/>
      <c r="O123" s="485"/>
      <c r="P123" s="485"/>
      <c r="Q123" s="485"/>
      <c r="R123" s="485"/>
      <c r="S123" s="485"/>
      <c r="T123" s="485"/>
      <c r="U123" s="486"/>
    </row>
    <row r="124" spans="1:21" ht="15" customHeight="1" x14ac:dyDescent="0.35">
      <c r="A124" s="12"/>
      <c r="B124" s="32" t="s">
        <v>210</v>
      </c>
      <c r="E124" s="167">
        <v>0</v>
      </c>
      <c r="F124" s="168">
        <v>222633</v>
      </c>
      <c r="G124" s="169">
        <f t="shared" ref="G124:I127" si="12">SUM(J124:U124)</f>
        <v>188059</v>
      </c>
      <c r="H124" s="169">
        <f t="shared" si="12"/>
        <v>171533</v>
      </c>
      <c r="I124" s="210">
        <f t="shared" si="12"/>
        <v>154998</v>
      </c>
      <c r="J124" s="33">
        <v>16526</v>
      </c>
      <c r="K124" s="34">
        <v>16535</v>
      </c>
      <c r="L124" s="34">
        <v>16449</v>
      </c>
      <c r="M124" s="34">
        <v>16374</v>
      </c>
      <c r="N124" s="34">
        <v>15894</v>
      </c>
      <c r="O124" s="34">
        <v>15635</v>
      </c>
      <c r="P124" s="410">
        <v>15394</v>
      </c>
      <c r="Q124" s="34">
        <v>15220</v>
      </c>
      <c r="R124" s="34">
        <v>15121</v>
      </c>
      <c r="S124" s="34">
        <v>15009</v>
      </c>
      <c r="T124" s="34">
        <v>14965</v>
      </c>
      <c r="U124" s="53">
        <v>14937</v>
      </c>
    </row>
    <row r="125" spans="1:21" ht="11.15" customHeight="1" x14ac:dyDescent="0.35">
      <c r="A125" s="12"/>
      <c r="B125" s="30" t="s">
        <v>162</v>
      </c>
      <c r="E125" s="167">
        <v>0</v>
      </c>
      <c r="F125" s="168">
        <v>412422</v>
      </c>
      <c r="G125" s="169">
        <f t="shared" si="12"/>
        <v>369231</v>
      </c>
      <c r="H125" s="169">
        <f t="shared" si="12"/>
        <v>336317</v>
      </c>
      <c r="I125" s="210">
        <f t="shared" si="12"/>
        <v>303342</v>
      </c>
      <c r="J125" s="36">
        <v>32914</v>
      </c>
      <c r="K125" s="37">
        <v>32975</v>
      </c>
      <c r="L125" s="37">
        <v>32766</v>
      </c>
      <c r="M125" s="37">
        <v>32535</v>
      </c>
      <c r="N125" s="37">
        <v>28765</v>
      </c>
      <c r="O125" s="37">
        <v>30851</v>
      </c>
      <c r="P125" s="34">
        <v>30431</v>
      </c>
      <c r="Q125" s="37">
        <v>30085</v>
      </c>
      <c r="R125" s="37">
        <v>29836</v>
      </c>
      <c r="S125" s="410">
        <v>29586</v>
      </c>
      <c r="T125" s="37">
        <v>29323</v>
      </c>
      <c r="U125" s="35">
        <v>29164</v>
      </c>
    </row>
    <row r="126" spans="1:21" ht="18" hidden="1" customHeight="1" x14ac:dyDescent="0.35">
      <c r="A126" s="12"/>
      <c r="B126" s="31" t="s">
        <v>163</v>
      </c>
      <c r="E126" s="167">
        <v>0</v>
      </c>
      <c r="F126" s="168">
        <v>0</v>
      </c>
      <c r="G126" s="169">
        <f t="shared" si="12"/>
        <v>0</v>
      </c>
      <c r="H126" s="169">
        <f t="shared" si="12"/>
        <v>0</v>
      </c>
      <c r="I126" s="169">
        <f t="shared" si="12"/>
        <v>0</v>
      </c>
      <c r="J126" s="54"/>
      <c r="K126" s="44"/>
      <c r="L126" s="44"/>
      <c r="M126" s="44"/>
      <c r="N126" s="44"/>
      <c r="O126" s="360"/>
      <c r="P126" s="34"/>
      <c r="Q126" s="44"/>
      <c r="R126" s="44"/>
      <c r="S126" s="44"/>
      <c r="T126" s="44"/>
      <c r="U126" s="55"/>
    </row>
    <row r="127" spans="1:21" ht="15" customHeight="1" x14ac:dyDescent="0.35">
      <c r="A127" s="12"/>
      <c r="B127" s="31" t="s">
        <v>164</v>
      </c>
      <c r="E127" s="167">
        <v>0</v>
      </c>
      <c r="F127" s="168">
        <v>56104956.780000001</v>
      </c>
      <c r="G127" s="169">
        <f t="shared" si="12"/>
        <v>68431355.469999999</v>
      </c>
      <c r="H127" s="169">
        <f t="shared" si="12"/>
        <v>62438131.469999999</v>
      </c>
      <c r="I127" s="210">
        <f t="shared" si="12"/>
        <v>56406338.469999999</v>
      </c>
      <c r="J127" s="56">
        <v>5993224</v>
      </c>
      <c r="K127" s="57">
        <v>6031793</v>
      </c>
      <c r="L127" s="57">
        <v>5967945</v>
      </c>
      <c r="M127" s="57">
        <v>6041650</v>
      </c>
      <c r="N127" s="57">
        <v>5912896</v>
      </c>
      <c r="O127" s="360">
        <v>5747006.4699999997</v>
      </c>
      <c r="P127" s="34">
        <v>5598609</v>
      </c>
      <c r="Q127" s="57">
        <v>5536571</v>
      </c>
      <c r="R127" s="57">
        <v>5470705</v>
      </c>
      <c r="S127" s="57">
        <v>5404441</v>
      </c>
      <c r="T127" s="57">
        <v>5367955</v>
      </c>
      <c r="U127" s="59">
        <v>5358560</v>
      </c>
    </row>
    <row r="128" spans="1:21" s="126" customFormat="1" ht="16" customHeight="1" x14ac:dyDescent="0.35">
      <c r="A128" s="125"/>
      <c r="B128" s="484" t="s">
        <v>206</v>
      </c>
      <c r="C128" s="485"/>
      <c r="D128" s="485"/>
      <c r="E128" s="485"/>
      <c r="F128" s="485"/>
      <c r="G128" s="485"/>
      <c r="H128" s="485"/>
      <c r="I128" s="485"/>
      <c r="J128" s="485"/>
      <c r="K128" s="485"/>
      <c r="L128" s="485"/>
      <c r="M128" s="485"/>
      <c r="N128" s="485"/>
      <c r="O128" s="485"/>
      <c r="P128" s="485"/>
      <c r="Q128" s="485"/>
      <c r="R128" s="485"/>
      <c r="S128" s="485"/>
      <c r="T128" s="485"/>
      <c r="U128" s="486"/>
    </row>
    <row r="129" spans="1:21" ht="19.5" customHeight="1" x14ac:dyDescent="0.4">
      <c r="A129" s="12"/>
      <c r="B129" s="32" t="s">
        <v>207</v>
      </c>
      <c r="E129" s="156">
        <v>0</v>
      </c>
      <c r="F129" s="157">
        <v>559666</v>
      </c>
      <c r="G129" s="170">
        <f t="shared" ref="G129:I133" si="13">SUM(J129:U129)</f>
        <v>887953</v>
      </c>
      <c r="H129" s="170">
        <f t="shared" si="13"/>
        <v>811471</v>
      </c>
      <c r="I129" s="235">
        <f t="shared" si="13"/>
        <v>735349</v>
      </c>
      <c r="J129" s="250">
        <v>76482</v>
      </c>
      <c r="K129" s="450">
        <v>76122</v>
      </c>
      <c r="L129" s="256">
        <v>75765</v>
      </c>
      <c r="M129" s="256">
        <v>75473</v>
      </c>
      <c r="N129" s="439">
        <v>74972</v>
      </c>
      <c r="O129" s="34">
        <v>74810</v>
      </c>
      <c r="P129" s="34">
        <v>74111</v>
      </c>
      <c r="Q129" s="34">
        <v>73426</v>
      </c>
      <c r="R129" s="34">
        <v>72606</v>
      </c>
      <c r="S129" s="50">
        <v>71861</v>
      </c>
      <c r="T129" s="50">
        <v>71398</v>
      </c>
      <c r="U129" s="53">
        <v>70927</v>
      </c>
    </row>
    <row r="130" spans="1:21" ht="12.65" hidden="1" customHeight="1" x14ac:dyDescent="0.35">
      <c r="A130" s="12"/>
      <c r="B130" s="30" t="s">
        <v>166</v>
      </c>
      <c r="E130" s="156">
        <v>0</v>
      </c>
      <c r="F130" s="157">
        <v>12670</v>
      </c>
      <c r="G130" s="170">
        <f t="shared" si="13"/>
        <v>0</v>
      </c>
      <c r="H130" s="170">
        <f t="shared" si="13"/>
        <v>0</v>
      </c>
      <c r="I130" s="170">
        <f t="shared" si="13"/>
        <v>0</v>
      </c>
      <c r="J130" s="20"/>
      <c r="K130" s="21"/>
      <c r="L130" s="21"/>
      <c r="M130" s="21"/>
      <c r="N130" s="21"/>
      <c r="O130" s="21"/>
      <c r="P130" s="8"/>
      <c r="Q130" s="21"/>
      <c r="R130" s="21"/>
      <c r="S130" s="21"/>
      <c r="T130" s="21"/>
      <c r="U130" s="17"/>
    </row>
    <row r="131" spans="1:21" ht="15" customHeight="1" x14ac:dyDescent="0.35">
      <c r="A131" s="12"/>
      <c r="B131" s="31" t="s">
        <v>167</v>
      </c>
      <c r="E131" s="156">
        <v>0</v>
      </c>
      <c r="F131" s="157">
        <v>7734</v>
      </c>
      <c r="G131" s="170">
        <f t="shared" si="13"/>
        <v>8084</v>
      </c>
      <c r="H131" s="170">
        <f t="shared" si="13"/>
        <v>7439</v>
      </c>
      <c r="I131" s="235">
        <f t="shared" si="13"/>
        <v>6796</v>
      </c>
      <c r="J131" s="20">
        <v>645</v>
      </c>
      <c r="K131" s="21">
        <v>643</v>
      </c>
      <c r="L131" s="407">
        <v>683</v>
      </c>
      <c r="M131" s="21">
        <v>679</v>
      </c>
      <c r="N131" s="21">
        <v>682</v>
      </c>
      <c r="O131" s="21">
        <v>690</v>
      </c>
      <c r="P131" s="8">
        <v>683</v>
      </c>
      <c r="Q131" s="21">
        <v>682</v>
      </c>
      <c r="R131" s="138">
        <v>679</v>
      </c>
      <c r="S131" s="21">
        <v>689</v>
      </c>
      <c r="T131" s="21">
        <v>672</v>
      </c>
      <c r="U131" s="22">
        <v>657</v>
      </c>
    </row>
    <row r="132" spans="1:21" ht="25" x14ac:dyDescent="0.35">
      <c r="A132" s="12"/>
      <c r="B132" s="304" t="s">
        <v>240</v>
      </c>
      <c r="C132" s="320"/>
      <c r="D132" s="285"/>
      <c r="E132" s="156">
        <v>0</v>
      </c>
      <c r="F132" s="157">
        <v>1.8613464253625978</v>
      </c>
      <c r="G132" s="170">
        <f t="shared" si="13"/>
        <v>2.7458068353949088</v>
      </c>
      <c r="H132" s="170">
        <f t="shared" si="13"/>
        <v>2.5093123516677602</v>
      </c>
      <c r="I132" s="235">
        <f t="shared" si="13"/>
        <v>2.2739278683698942</v>
      </c>
      <c r="J132" s="267">
        <f>SUM(J129+J131)/V170</f>
        <v>0.2364944837271484</v>
      </c>
      <c r="K132" s="267">
        <f>SUM(K129+K131)/V170</f>
        <v>0.23538448329786646</v>
      </c>
      <c r="L132" s="267">
        <f>SUM(L129+L131)/V170</f>
        <v>0.23441246634736268</v>
      </c>
      <c r="M132" s="461">
        <f>SUM(M129+M131)/V170</f>
        <v>0.23350484168695534</v>
      </c>
      <c r="N132" s="461">
        <f>SUM(N129+N131)/V170</f>
        <v>0.23197782452181059</v>
      </c>
      <c r="O132" s="461">
        <f>SUM(O129+O131)/V170</f>
        <v>0.23150561439443651</v>
      </c>
      <c r="P132" s="461">
        <f>SUM(P129+P131)/V170</f>
        <v>0.2293408069273839</v>
      </c>
      <c r="Q132" s="267">
        <f>SUM(Q129+Q131)/V170</f>
        <v>0.22723732545089934</v>
      </c>
      <c r="R132" s="467">
        <f>SUM(R129+R131)/V170</f>
        <v>0.22471376093902357</v>
      </c>
      <c r="S132" s="436">
        <f>SUM(S129+131)/V170</f>
        <v>0.22074903564879833</v>
      </c>
      <c r="T132" s="436">
        <f>SUM(T129+T131)/V170</f>
        <v>0.22098820701201377</v>
      </c>
      <c r="U132" s="436">
        <f>SUM(U129+U131)/V170</f>
        <v>0.21949798544120985</v>
      </c>
    </row>
    <row r="133" spans="1:21" ht="27" customHeight="1" x14ac:dyDescent="0.35">
      <c r="A133" s="12"/>
      <c r="B133" s="305" t="s">
        <v>168</v>
      </c>
      <c r="C133" s="320"/>
      <c r="D133" s="285"/>
      <c r="E133" s="156">
        <v>0</v>
      </c>
      <c r="F133" s="171">
        <v>3850262</v>
      </c>
      <c r="G133" s="170">
        <f t="shared" si="13"/>
        <v>3781913</v>
      </c>
      <c r="H133" s="170">
        <f t="shared" si="13"/>
        <v>3479269</v>
      </c>
      <c r="I133" s="235">
        <f t="shared" si="13"/>
        <v>3176855</v>
      </c>
      <c r="J133" s="60">
        <v>302644</v>
      </c>
      <c r="K133" s="61">
        <v>302414</v>
      </c>
      <c r="L133" s="61">
        <v>310831</v>
      </c>
      <c r="M133" s="61">
        <v>322885</v>
      </c>
      <c r="N133" s="61">
        <v>324086</v>
      </c>
      <c r="O133" s="61">
        <v>321047</v>
      </c>
      <c r="P133" s="71">
        <v>310660</v>
      </c>
      <c r="Q133" s="61">
        <v>332261</v>
      </c>
      <c r="R133" s="61">
        <v>327519</v>
      </c>
      <c r="S133" s="61">
        <v>325758</v>
      </c>
      <c r="T133" s="61">
        <v>307063</v>
      </c>
      <c r="U133" s="62">
        <v>294745</v>
      </c>
    </row>
    <row r="134" spans="1:21" ht="0.75" customHeight="1" x14ac:dyDescent="0.35">
      <c r="A134" s="12"/>
      <c r="B134" s="305" t="s">
        <v>208</v>
      </c>
      <c r="C134" s="320"/>
      <c r="D134" s="285"/>
      <c r="E134" s="161"/>
      <c r="F134" s="163"/>
      <c r="G134" s="302"/>
      <c r="H134" s="302"/>
      <c r="I134" s="302"/>
      <c r="J134" s="303" t="s">
        <v>41</v>
      </c>
      <c r="K134" s="303" t="s">
        <v>41</v>
      </c>
      <c r="L134" s="303" t="s">
        <v>41</v>
      </c>
      <c r="M134" s="303" t="s">
        <v>41</v>
      </c>
      <c r="N134" s="303" t="s">
        <v>41</v>
      </c>
      <c r="O134" s="303" t="s">
        <v>41</v>
      </c>
      <c r="P134" s="303" t="s">
        <v>41</v>
      </c>
      <c r="Q134" s="303" t="s">
        <v>41</v>
      </c>
      <c r="R134" s="303" t="s">
        <v>41</v>
      </c>
      <c r="S134" s="303" t="s">
        <v>41</v>
      </c>
      <c r="T134" s="366"/>
      <c r="U134" s="366"/>
    </row>
    <row r="135" spans="1:21" s="126" customFormat="1" ht="15.75" customHeight="1" x14ac:dyDescent="0.35">
      <c r="A135" s="125"/>
      <c r="B135" s="490" t="s">
        <v>30</v>
      </c>
      <c r="C135" s="491"/>
      <c r="D135" s="491"/>
      <c r="E135" s="491"/>
      <c r="F135" s="491"/>
      <c r="G135" s="491"/>
      <c r="H135" s="491"/>
      <c r="I135" s="491"/>
      <c r="J135" s="491"/>
      <c r="K135" s="491"/>
      <c r="L135" s="491"/>
      <c r="M135" s="491"/>
      <c r="N135" s="491"/>
      <c r="O135" s="491"/>
      <c r="P135" s="491"/>
      <c r="Q135" s="491"/>
      <c r="R135" s="491"/>
      <c r="S135" s="491"/>
      <c r="T135" s="491"/>
      <c r="U135" s="492"/>
    </row>
    <row r="136" spans="1:21" s="126" customFormat="1" ht="16" customHeight="1" x14ac:dyDescent="0.35">
      <c r="A136" s="125"/>
      <c r="B136" s="493"/>
      <c r="C136" s="494"/>
      <c r="D136" s="494"/>
      <c r="E136" s="494"/>
      <c r="F136" s="494"/>
      <c r="G136" s="494"/>
      <c r="H136" s="494"/>
      <c r="I136" s="494"/>
      <c r="J136" s="494"/>
      <c r="K136" s="494"/>
      <c r="L136" s="494"/>
      <c r="M136" s="494"/>
      <c r="N136" s="494"/>
      <c r="O136" s="494"/>
      <c r="P136" s="494"/>
      <c r="Q136" s="494"/>
      <c r="R136" s="494"/>
      <c r="S136" s="494"/>
      <c r="T136" s="494"/>
      <c r="U136" s="495"/>
    </row>
    <row r="137" spans="1:21" ht="15" customHeight="1" x14ac:dyDescent="0.35">
      <c r="A137" s="12"/>
      <c r="B137" s="32" t="s">
        <v>214</v>
      </c>
      <c r="E137" s="156">
        <v>0</v>
      </c>
      <c r="F137" s="157">
        <v>4108</v>
      </c>
      <c r="G137" s="170">
        <f t="shared" ref="G137:I140" si="14">SUM(J137:U137)</f>
        <v>1551</v>
      </c>
      <c r="H137" s="170">
        <f t="shared" si="14"/>
        <v>1409</v>
      </c>
      <c r="I137" s="235">
        <f t="shared" si="14"/>
        <v>1263</v>
      </c>
      <c r="J137" s="7">
        <v>142</v>
      </c>
      <c r="K137" s="46">
        <v>146</v>
      </c>
      <c r="L137" s="46">
        <v>143</v>
      </c>
      <c r="M137" s="46">
        <v>143</v>
      </c>
      <c r="N137" s="46">
        <v>132</v>
      </c>
      <c r="O137" s="46">
        <v>127</v>
      </c>
      <c r="P137" s="46">
        <v>125</v>
      </c>
      <c r="Q137" s="46">
        <v>128</v>
      </c>
      <c r="R137" s="46">
        <v>128</v>
      </c>
      <c r="S137" s="46">
        <v>125</v>
      </c>
      <c r="T137" s="46">
        <v>108</v>
      </c>
      <c r="U137" s="46">
        <v>104</v>
      </c>
    </row>
    <row r="138" spans="1:21" ht="15" customHeight="1" x14ac:dyDescent="0.35">
      <c r="A138" s="12"/>
      <c r="B138" s="193" t="s">
        <v>169</v>
      </c>
      <c r="C138" s="311"/>
      <c r="E138" s="156">
        <v>0</v>
      </c>
      <c r="F138" s="157">
        <v>3156</v>
      </c>
      <c r="G138" s="170">
        <f t="shared" si="14"/>
        <v>1086</v>
      </c>
      <c r="H138" s="170">
        <f t="shared" si="14"/>
        <v>992</v>
      </c>
      <c r="I138" s="235">
        <f t="shared" si="14"/>
        <v>898</v>
      </c>
      <c r="J138" s="15">
        <v>94</v>
      </c>
      <c r="K138" s="16">
        <v>94</v>
      </c>
      <c r="L138" s="16">
        <v>95</v>
      </c>
      <c r="M138" s="46">
        <v>96</v>
      </c>
      <c r="N138" s="46">
        <v>94</v>
      </c>
      <c r="O138" s="46">
        <v>94</v>
      </c>
      <c r="P138" s="8">
        <v>94</v>
      </c>
      <c r="Q138" s="236">
        <v>93</v>
      </c>
      <c r="R138" s="138">
        <v>89</v>
      </c>
      <c r="S138" s="138">
        <v>87</v>
      </c>
      <c r="T138" s="138">
        <v>79</v>
      </c>
      <c r="U138" s="17">
        <v>77</v>
      </c>
    </row>
    <row r="139" spans="1:21" ht="15" customHeight="1" x14ac:dyDescent="0.35">
      <c r="A139" s="12"/>
      <c r="B139" s="193" t="s">
        <v>170</v>
      </c>
      <c r="C139" s="311"/>
      <c r="E139" s="156">
        <v>0</v>
      </c>
      <c r="F139" s="157">
        <v>952</v>
      </c>
      <c r="G139" s="170">
        <f t="shared" si="14"/>
        <v>465</v>
      </c>
      <c r="H139" s="170">
        <f t="shared" si="14"/>
        <v>417</v>
      </c>
      <c r="I139" s="235">
        <f t="shared" si="14"/>
        <v>365</v>
      </c>
      <c r="J139" s="15">
        <v>48</v>
      </c>
      <c r="K139" s="16">
        <v>52</v>
      </c>
      <c r="L139" s="138">
        <v>48</v>
      </c>
      <c r="M139" s="138">
        <v>47</v>
      </c>
      <c r="N139" s="46">
        <v>38</v>
      </c>
      <c r="O139" s="46">
        <v>33</v>
      </c>
      <c r="P139" s="8">
        <v>31</v>
      </c>
      <c r="Q139" s="236">
        <v>35</v>
      </c>
      <c r="R139" s="16">
        <v>39</v>
      </c>
      <c r="S139" s="16">
        <v>38</v>
      </c>
      <c r="T139" s="16">
        <v>29</v>
      </c>
      <c r="U139" s="17">
        <v>27</v>
      </c>
    </row>
    <row r="140" spans="1:21" ht="15" customHeight="1" x14ac:dyDescent="0.35">
      <c r="A140" s="12"/>
      <c r="B140" s="31" t="s">
        <v>244</v>
      </c>
      <c r="E140" s="156">
        <v>0</v>
      </c>
      <c r="F140" s="157">
        <v>883408</v>
      </c>
      <c r="G140" s="170">
        <f t="shared" si="14"/>
        <v>334605</v>
      </c>
      <c r="H140" s="170">
        <f t="shared" si="14"/>
        <v>301828</v>
      </c>
      <c r="I140" s="235">
        <f t="shared" si="14"/>
        <v>268942</v>
      </c>
      <c r="J140" s="60">
        <v>32777</v>
      </c>
      <c r="K140" s="58">
        <v>32886</v>
      </c>
      <c r="L140" s="259">
        <v>31876</v>
      </c>
      <c r="M140" s="41">
        <v>31532</v>
      </c>
      <c r="N140" s="41">
        <v>30328</v>
      </c>
      <c r="O140" s="41">
        <v>27999</v>
      </c>
      <c r="P140" s="41">
        <v>26167</v>
      </c>
      <c r="Q140" s="468">
        <v>28021</v>
      </c>
      <c r="R140" s="58">
        <v>24843</v>
      </c>
      <c r="S140" s="58">
        <v>25051</v>
      </c>
      <c r="T140" s="58">
        <v>22421</v>
      </c>
      <c r="U140" s="59">
        <v>20704</v>
      </c>
    </row>
    <row r="141" spans="1:21" s="126" customFormat="1" ht="13" customHeight="1" x14ac:dyDescent="0.35">
      <c r="A141" s="125"/>
      <c r="B141" s="496" t="s">
        <v>31</v>
      </c>
      <c r="C141" s="441"/>
      <c r="D141" s="441"/>
      <c r="E141" s="441"/>
      <c r="F141" s="441"/>
      <c r="G141" s="441"/>
      <c r="H141" s="441"/>
      <c r="I141" s="441"/>
      <c r="J141" s="441"/>
      <c r="K141" s="441"/>
      <c r="L141" s="441"/>
      <c r="M141" s="441"/>
      <c r="N141" s="441"/>
      <c r="O141" s="441"/>
      <c r="P141" s="441"/>
      <c r="Q141" s="441"/>
      <c r="R141" s="441"/>
      <c r="S141" s="441"/>
      <c r="T141" s="441"/>
      <c r="U141" s="497"/>
    </row>
    <row r="142" spans="1:21" ht="3" hidden="1" customHeight="1" x14ac:dyDescent="0.35">
      <c r="A142" s="12"/>
      <c r="B142" s="32" t="s">
        <v>172</v>
      </c>
      <c r="E142" s="156">
        <v>0</v>
      </c>
      <c r="F142" s="157">
        <v>934</v>
      </c>
      <c r="G142" s="170">
        <f t="shared" ref="G142:I144" si="15">SUM(J142:U142)</f>
        <v>0</v>
      </c>
      <c r="H142" s="170">
        <f t="shared" si="15"/>
        <v>0</v>
      </c>
      <c r="I142" s="170">
        <f t="shared" si="15"/>
        <v>0</v>
      </c>
      <c r="J142" s="301" t="s">
        <v>41</v>
      </c>
      <c r="K142" s="301"/>
      <c r="L142" s="301"/>
      <c r="M142" s="301"/>
      <c r="N142" s="301"/>
      <c r="O142" s="301"/>
      <c r="P142" s="301"/>
      <c r="Q142" s="301"/>
      <c r="R142" s="301"/>
      <c r="S142" s="301"/>
      <c r="T142" s="301"/>
      <c r="U142" s="301"/>
    </row>
    <row r="143" spans="1:21" ht="15" hidden="1" customHeight="1" x14ac:dyDescent="0.35">
      <c r="A143" s="12"/>
      <c r="B143" s="63" t="s">
        <v>173</v>
      </c>
      <c r="C143" s="320"/>
      <c r="D143" s="285"/>
      <c r="E143" s="172">
        <v>0</v>
      </c>
      <c r="F143" s="173">
        <v>0</v>
      </c>
      <c r="G143" s="170">
        <f t="shared" si="15"/>
        <v>0</v>
      </c>
      <c r="H143" s="170">
        <f t="shared" si="15"/>
        <v>0</v>
      </c>
      <c r="I143" s="170">
        <f t="shared" si="15"/>
        <v>0</v>
      </c>
      <c r="J143" s="301" t="s">
        <v>41</v>
      </c>
      <c r="K143" s="301"/>
      <c r="L143" s="301"/>
      <c r="M143" s="301"/>
      <c r="N143" s="301"/>
      <c r="O143" s="301"/>
      <c r="P143" s="301"/>
      <c r="Q143" s="301"/>
      <c r="R143" s="301"/>
      <c r="S143" s="301"/>
      <c r="T143" s="301"/>
      <c r="U143" s="301"/>
    </row>
    <row r="144" spans="1:21" ht="15" hidden="1" customHeight="1" x14ac:dyDescent="0.35">
      <c r="A144" s="12"/>
      <c r="B144" s="31" t="s">
        <v>174</v>
      </c>
      <c r="E144" s="174">
        <v>0</v>
      </c>
      <c r="F144" s="175">
        <v>0</v>
      </c>
      <c r="G144" s="176">
        <f t="shared" si="15"/>
        <v>0</v>
      </c>
      <c r="H144" s="176">
        <f t="shared" si="15"/>
        <v>0</v>
      </c>
      <c r="I144" s="176">
        <f t="shared" si="15"/>
        <v>0</v>
      </c>
      <c r="J144" s="301" t="s">
        <v>41</v>
      </c>
      <c r="K144" s="301"/>
      <c r="L144" s="301"/>
      <c r="M144" s="301"/>
      <c r="N144" s="301"/>
      <c r="O144" s="301"/>
      <c r="P144" s="301"/>
      <c r="Q144" s="301"/>
      <c r="R144" s="301"/>
      <c r="S144" s="301"/>
      <c r="T144" s="301"/>
      <c r="U144" s="301"/>
    </row>
    <row r="145" spans="1:21" ht="15" hidden="1" customHeight="1" x14ac:dyDescent="0.35">
      <c r="A145" s="12"/>
      <c r="B145" s="30" t="s">
        <v>175</v>
      </c>
      <c r="C145" s="313"/>
      <c r="D145" s="280"/>
      <c r="E145" s="128" t="s">
        <v>41</v>
      </c>
      <c r="F145" s="14" t="s">
        <v>41</v>
      </c>
      <c r="G145" s="398"/>
      <c r="H145" s="136"/>
      <c r="I145" s="136"/>
      <c r="J145" s="301" t="s">
        <v>41</v>
      </c>
      <c r="K145" s="301"/>
      <c r="L145" s="301"/>
      <c r="M145" s="301"/>
      <c r="N145" s="301"/>
      <c r="O145" s="301"/>
      <c r="P145" s="301"/>
      <c r="Q145" s="301"/>
      <c r="R145" s="301"/>
      <c r="S145" s="301"/>
      <c r="T145" s="301"/>
      <c r="U145" s="301"/>
    </row>
    <row r="146" spans="1:21" ht="15" customHeight="1" x14ac:dyDescent="0.35">
      <c r="A146" s="12"/>
      <c r="B146" s="64" t="s">
        <v>176</v>
      </c>
      <c r="C146" s="321"/>
      <c r="D146" s="290"/>
      <c r="E146" s="33">
        <v>34</v>
      </c>
      <c r="F146" s="14">
        <v>34</v>
      </c>
      <c r="G146" s="397">
        <v>9</v>
      </c>
      <c r="H146" s="38">
        <f>SUM(K146:V146)</f>
        <v>16</v>
      </c>
      <c r="I146" s="38">
        <f>SUM(J146:W146)</f>
        <v>18</v>
      </c>
      <c r="J146" s="65">
        <v>2</v>
      </c>
      <c r="K146" s="66">
        <v>3</v>
      </c>
      <c r="L146" s="66">
        <v>1</v>
      </c>
      <c r="M146" s="66">
        <v>2</v>
      </c>
      <c r="N146" s="66">
        <v>1</v>
      </c>
      <c r="O146" s="409">
        <v>1</v>
      </c>
      <c r="P146" s="66">
        <v>1</v>
      </c>
      <c r="Q146" s="138">
        <v>2</v>
      </c>
      <c r="R146" s="66">
        <v>2</v>
      </c>
      <c r="S146" s="66">
        <v>1</v>
      </c>
      <c r="T146" s="66">
        <v>1</v>
      </c>
      <c r="U146" s="67">
        <v>1</v>
      </c>
    </row>
    <row r="147" spans="1:21" s="126" customFormat="1" ht="16" customHeight="1" x14ac:dyDescent="0.35">
      <c r="A147" s="125"/>
      <c r="B147" s="498" t="s">
        <v>103</v>
      </c>
      <c r="C147" s="499"/>
      <c r="D147" s="499"/>
      <c r="E147" s="499"/>
      <c r="F147" s="499"/>
      <c r="G147" s="500"/>
      <c r="H147" s="500"/>
      <c r="I147" s="500"/>
      <c r="J147" s="500"/>
      <c r="K147" s="500"/>
      <c r="L147" s="500"/>
      <c r="M147" s="500"/>
      <c r="N147" s="500"/>
      <c r="O147" s="500"/>
      <c r="P147" s="500"/>
      <c r="Q147" s="500"/>
      <c r="R147" s="500"/>
      <c r="S147" s="500"/>
      <c r="T147" s="500"/>
      <c r="U147" s="501"/>
    </row>
    <row r="148" spans="1:21" s="126" customFormat="1" ht="16" customHeight="1" x14ac:dyDescent="0.35">
      <c r="A148" s="125"/>
      <c r="B148" s="502" t="s">
        <v>32</v>
      </c>
      <c r="C148" s="503"/>
      <c r="D148" s="503"/>
      <c r="E148" s="503"/>
      <c r="F148" s="503"/>
      <c r="G148" s="503"/>
      <c r="H148" s="503"/>
      <c r="I148" s="503"/>
      <c r="J148" s="503"/>
      <c r="K148" s="503"/>
      <c r="L148" s="503"/>
      <c r="M148" s="503"/>
      <c r="N148" s="503"/>
      <c r="O148" s="503"/>
      <c r="P148" s="503"/>
      <c r="Q148" s="503"/>
      <c r="R148" s="503"/>
      <c r="S148" s="503"/>
      <c r="T148" s="503"/>
      <c r="U148" s="504"/>
    </row>
    <row r="149" spans="1:21" ht="15" customHeight="1" thickBot="1" x14ac:dyDescent="0.4">
      <c r="A149" s="12"/>
      <c r="B149" s="32" t="s">
        <v>177</v>
      </c>
      <c r="C149" s="313"/>
      <c r="D149" s="280"/>
      <c r="E149" s="345">
        <v>183973.25</v>
      </c>
      <c r="F149" s="345">
        <v>181770.77</v>
      </c>
      <c r="G149" s="392">
        <v>1791047.51</v>
      </c>
      <c r="H149" s="68">
        <f>SUM(H150:H156)</f>
        <v>1456341.0899999999</v>
      </c>
      <c r="I149" s="68">
        <f t="shared" ref="I149:I156" si="16">SUM(J149:U149)</f>
        <v>1456341.0899999999</v>
      </c>
      <c r="J149" s="326">
        <v>125123</v>
      </c>
      <c r="K149" s="41">
        <v>143248</v>
      </c>
      <c r="L149" s="41">
        <v>119756</v>
      </c>
      <c r="M149" s="41">
        <v>70674</v>
      </c>
      <c r="N149" s="462">
        <v>43299.49</v>
      </c>
      <c r="O149" s="41">
        <f>SUM(O150:O156)</f>
        <v>79737</v>
      </c>
      <c r="P149" s="41">
        <f>SUM(P150:P156)</f>
        <v>71731</v>
      </c>
      <c r="Q149" s="41">
        <f>SUM(Q150:Q156)</f>
        <v>62225</v>
      </c>
      <c r="R149" s="41">
        <f>SUM(R150:R156)</f>
        <v>63349.9</v>
      </c>
      <c r="S149" s="41">
        <f>SUM(S150:S156)</f>
        <v>84363.7</v>
      </c>
      <c r="T149" s="41">
        <v>379549</v>
      </c>
      <c r="U149" s="259">
        <v>213285</v>
      </c>
    </row>
    <row r="150" spans="1:21" ht="15" customHeight="1" x14ac:dyDescent="0.35">
      <c r="A150" s="12"/>
      <c r="B150" s="194" t="s">
        <v>178</v>
      </c>
      <c r="C150" s="322"/>
      <c r="D150" s="280"/>
      <c r="E150" s="345">
        <v>1071</v>
      </c>
      <c r="F150" s="345">
        <v>677</v>
      </c>
      <c r="G150" s="392">
        <v>5697.5300000000007</v>
      </c>
      <c r="H150" s="68">
        <f t="shared" ref="H150:H156" si="17">SUM(J150:V150)</f>
        <v>399</v>
      </c>
      <c r="I150" s="68">
        <f t="shared" si="16"/>
        <v>399</v>
      </c>
      <c r="J150" s="352">
        <v>0</v>
      </c>
      <c r="K150" s="352">
        <v>0</v>
      </c>
      <c r="L150" s="352">
        <v>0</v>
      </c>
      <c r="M150" s="41">
        <v>0</v>
      </c>
      <c r="N150" s="41">
        <v>0</v>
      </c>
      <c r="O150" s="269">
        <v>0</v>
      </c>
      <c r="P150" s="41">
        <v>0</v>
      </c>
      <c r="Q150" s="41">
        <v>0</v>
      </c>
      <c r="R150" s="41">
        <v>0</v>
      </c>
      <c r="S150" s="41">
        <v>387</v>
      </c>
      <c r="T150" s="41">
        <v>6</v>
      </c>
      <c r="U150" s="41">
        <v>6</v>
      </c>
    </row>
    <row r="151" spans="1:21" ht="15" customHeight="1" thickBot="1" x14ac:dyDescent="0.4">
      <c r="A151" s="12"/>
      <c r="B151" s="194" t="s">
        <v>245</v>
      </c>
      <c r="C151" s="322"/>
      <c r="D151" s="280"/>
      <c r="E151" s="345"/>
      <c r="F151" s="345"/>
      <c r="G151" s="392"/>
      <c r="H151" s="68">
        <f t="shared" si="17"/>
        <v>236</v>
      </c>
      <c r="I151" s="68">
        <f t="shared" si="16"/>
        <v>236</v>
      </c>
      <c r="J151" s="352">
        <v>0</v>
      </c>
      <c r="K151" s="352">
        <v>0</v>
      </c>
      <c r="L151" s="352">
        <v>0</v>
      </c>
      <c r="M151" s="41">
        <v>0</v>
      </c>
      <c r="N151" s="269">
        <v>0</v>
      </c>
      <c r="O151" s="269">
        <v>0</v>
      </c>
      <c r="P151" s="269">
        <v>236</v>
      </c>
      <c r="Q151" s="326">
        <v>0</v>
      </c>
      <c r="R151" s="41">
        <v>0</v>
      </c>
      <c r="S151" s="41">
        <v>0</v>
      </c>
      <c r="T151" s="41">
        <v>0</v>
      </c>
      <c r="U151" s="41">
        <v>0</v>
      </c>
    </row>
    <row r="152" spans="1:21" ht="15" customHeight="1" thickBot="1" x14ac:dyDescent="0.3">
      <c r="A152" s="12"/>
      <c r="B152" s="193" t="s">
        <v>179</v>
      </c>
      <c r="C152" s="314"/>
      <c r="D152" s="282"/>
      <c r="E152" s="345">
        <v>125574.99</v>
      </c>
      <c r="F152" s="345">
        <v>147496.13</v>
      </c>
      <c r="G152" s="399">
        <v>1757729.88</v>
      </c>
      <c r="H152" s="68">
        <f t="shared" si="17"/>
        <v>1452725.0899999999</v>
      </c>
      <c r="I152" s="68">
        <f>SUM(J152:U152)</f>
        <v>1452725.0899999999</v>
      </c>
      <c r="J152" s="352">
        <v>125123</v>
      </c>
      <c r="K152" s="269">
        <v>143148</v>
      </c>
      <c r="L152" s="413">
        <v>119656</v>
      </c>
      <c r="M152" s="41">
        <v>70569</v>
      </c>
      <c r="N152" s="462">
        <v>43299.49</v>
      </c>
      <c r="O152" s="41">
        <v>77461</v>
      </c>
      <c r="P152" s="41">
        <v>71495</v>
      </c>
      <c r="Q152" s="41">
        <v>62125</v>
      </c>
      <c r="R152" s="469">
        <v>63249.9</v>
      </c>
      <c r="S152" s="41">
        <v>83876.7</v>
      </c>
      <c r="T152" s="41">
        <v>379443</v>
      </c>
      <c r="U152" s="41">
        <v>213279</v>
      </c>
    </row>
    <row r="153" spans="1:21" ht="27.65" customHeight="1" x14ac:dyDescent="0.35">
      <c r="A153" s="12"/>
      <c r="B153" s="193" t="s">
        <v>180</v>
      </c>
      <c r="C153" s="314"/>
      <c r="D153" s="282"/>
      <c r="E153" s="345">
        <v>5226.96</v>
      </c>
      <c r="F153" s="345">
        <v>2246.6799999999998</v>
      </c>
      <c r="G153" s="399">
        <v>7189.1</v>
      </c>
      <c r="H153" s="68">
        <f t="shared" si="17"/>
        <v>0</v>
      </c>
      <c r="I153" s="68">
        <f t="shared" si="16"/>
        <v>0</v>
      </c>
      <c r="J153" s="352">
        <v>0</v>
      </c>
      <c r="K153" s="352">
        <v>0</v>
      </c>
      <c r="L153" s="352">
        <v>0</v>
      </c>
      <c r="M153" s="41">
        <v>0</v>
      </c>
      <c r="N153" s="269">
        <v>0</v>
      </c>
      <c r="O153" s="41">
        <v>0</v>
      </c>
      <c r="P153" s="41">
        <v>0</v>
      </c>
      <c r="Q153" s="41">
        <v>0</v>
      </c>
      <c r="R153" s="41">
        <v>0</v>
      </c>
      <c r="S153" s="41">
        <v>0</v>
      </c>
      <c r="T153" s="41">
        <v>0</v>
      </c>
      <c r="U153" s="41">
        <v>0</v>
      </c>
    </row>
    <row r="154" spans="1:21" ht="15" customHeight="1" x14ac:dyDescent="0.35">
      <c r="A154" s="12"/>
      <c r="B154" s="193" t="s">
        <v>181</v>
      </c>
      <c r="C154" s="314"/>
      <c r="D154" s="282"/>
      <c r="E154" s="345">
        <v>43761.8</v>
      </c>
      <c r="F154" s="345">
        <v>28958.059999999998</v>
      </c>
      <c r="G154" s="399">
        <v>19726</v>
      </c>
      <c r="H154" s="68">
        <f t="shared" si="17"/>
        <v>2071</v>
      </c>
      <c r="I154" s="68">
        <f t="shared" si="16"/>
        <v>2071</v>
      </c>
      <c r="J154" s="138">
        <v>0</v>
      </c>
      <c r="K154" s="352">
        <v>0</v>
      </c>
      <c r="L154" s="352">
        <v>0</v>
      </c>
      <c r="M154" s="41">
        <v>0</v>
      </c>
      <c r="N154" s="269">
        <v>0</v>
      </c>
      <c r="O154" s="41">
        <v>2071</v>
      </c>
      <c r="P154" s="41">
        <v>0</v>
      </c>
      <c r="Q154" s="41">
        <v>0</v>
      </c>
      <c r="R154" s="41">
        <v>0</v>
      </c>
      <c r="S154" s="41">
        <v>0</v>
      </c>
      <c r="T154" s="41">
        <v>0</v>
      </c>
      <c r="U154" s="41">
        <v>0</v>
      </c>
    </row>
    <row r="155" spans="1:21" ht="15" customHeight="1" x14ac:dyDescent="0.35">
      <c r="A155" s="12"/>
      <c r="B155" s="193" t="s">
        <v>182</v>
      </c>
      <c r="C155" s="314"/>
      <c r="D155" s="282"/>
      <c r="E155" s="345">
        <v>8338.5</v>
      </c>
      <c r="F155" s="345">
        <v>2362.9</v>
      </c>
      <c r="G155" s="399">
        <v>705</v>
      </c>
      <c r="H155" s="68">
        <f t="shared" si="17"/>
        <v>910</v>
      </c>
      <c r="I155" s="68">
        <f t="shared" si="16"/>
        <v>910</v>
      </c>
      <c r="J155" s="352">
        <v>0</v>
      </c>
      <c r="K155" s="269">
        <v>100</v>
      </c>
      <c r="L155" s="352">
        <v>100</v>
      </c>
      <c r="M155" s="41">
        <v>105</v>
      </c>
      <c r="N155" s="269">
        <v>0</v>
      </c>
      <c r="O155" s="41">
        <v>205</v>
      </c>
      <c r="P155" s="41">
        <v>0</v>
      </c>
      <c r="Q155" s="41">
        <v>100</v>
      </c>
      <c r="R155" s="41">
        <v>100</v>
      </c>
      <c r="S155" s="41">
        <v>100</v>
      </c>
      <c r="T155" s="41">
        <v>100</v>
      </c>
      <c r="U155" s="41">
        <v>0</v>
      </c>
    </row>
    <row r="156" spans="1:21" ht="15" customHeight="1" x14ac:dyDescent="0.35">
      <c r="A156" s="12"/>
      <c r="B156" s="192" t="s">
        <v>183</v>
      </c>
      <c r="C156" s="310"/>
      <c r="D156" s="281"/>
      <c r="E156" s="345">
        <v>0</v>
      </c>
      <c r="F156" s="345">
        <v>30</v>
      </c>
      <c r="G156" s="400">
        <v>0</v>
      </c>
      <c r="H156" s="68">
        <f t="shared" si="17"/>
        <v>0</v>
      </c>
      <c r="I156" s="68">
        <f t="shared" si="16"/>
        <v>0</v>
      </c>
      <c r="J156" s="352">
        <v>0</v>
      </c>
      <c r="K156" s="352">
        <v>0</v>
      </c>
      <c r="L156" s="352">
        <v>0</v>
      </c>
      <c r="M156" s="41">
        <v>0</v>
      </c>
      <c r="N156" s="269">
        <v>0</v>
      </c>
      <c r="O156" s="41">
        <v>0</v>
      </c>
      <c r="P156" s="41">
        <v>0</v>
      </c>
      <c r="Q156" s="41">
        <v>0</v>
      </c>
      <c r="R156" s="41">
        <v>0</v>
      </c>
      <c r="S156" s="41">
        <v>0</v>
      </c>
      <c r="T156" s="41">
        <v>0</v>
      </c>
      <c r="U156" s="41">
        <v>0</v>
      </c>
    </row>
    <row r="157" spans="1:21" s="126" customFormat="1" ht="16" customHeight="1" x14ac:dyDescent="0.35">
      <c r="A157" s="125"/>
      <c r="B157" s="484" t="s">
        <v>33</v>
      </c>
      <c r="C157" s="485"/>
      <c r="D157" s="485"/>
      <c r="E157" s="485"/>
      <c r="F157" s="485"/>
      <c r="G157" s="485"/>
      <c r="H157" s="485"/>
      <c r="I157" s="485"/>
      <c r="J157" s="485"/>
      <c r="K157" s="485"/>
      <c r="L157" s="485"/>
      <c r="M157" s="485"/>
      <c r="N157" s="485"/>
      <c r="O157" s="485"/>
      <c r="P157" s="485"/>
      <c r="Q157" s="485"/>
      <c r="R157" s="485"/>
      <c r="S157" s="485"/>
      <c r="T157" s="485"/>
      <c r="U157" s="486"/>
    </row>
    <row r="158" spans="1:21" ht="15" customHeight="1" x14ac:dyDescent="0.35">
      <c r="A158" s="12"/>
      <c r="B158" s="32" t="s">
        <v>184</v>
      </c>
      <c r="C158" s="313"/>
      <c r="D158" s="280"/>
      <c r="E158" s="142">
        <v>26704</v>
      </c>
      <c r="F158" s="143">
        <v>29850</v>
      </c>
      <c r="G158" s="391">
        <v>62694</v>
      </c>
      <c r="H158" s="6">
        <f>SUM(J158:U158)</f>
        <v>76158</v>
      </c>
      <c r="I158" s="6">
        <f>SUM(J158:U158)</f>
        <v>76158</v>
      </c>
      <c r="J158" s="33">
        <v>6526</v>
      </c>
      <c r="K158" s="33">
        <v>5825</v>
      </c>
      <c r="L158" s="50">
        <v>6352</v>
      </c>
      <c r="M158" s="33">
        <v>6194</v>
      </c>
      <c r="N158" s="50">
        <v>5012</v>
      </c>
      <c r="O158" s="50">
        <v>5996</v>
      </c>
      <c r="P158" s="33">
        <v>6906</v>
      </c>
      <c r="Q158" s="33">
        <v>6780</v>
      </c>
      <c r="R158" s="50">
        <v>7305</v>
      </c>
      <c r="S158" s="50">
        <v>6315</v>
      </c>
      <c r="T158" s="50">
        <v>6334</v>
      </c>
      <c r="U158" s="50">
        <v>6613</v>
      </c>
    </row>
    <row r="159" spans="1:21" ht="15" hidden="1" customHeight="1" x14ac:dyDescent="0.35">
      <c r="A159" s="12"/>
      <c r="B159" s="193" t="s">
        <v>195</v>
      </c>
      <c r="C159" s="314"/>
      <c r="D159" s="282"/>
      <c r="E159" s="142">
        <v>70</v>
      </c>
      <c r="F159" s="143">
        <v>0</v>
      </c>
      <c r="G159" s="396">
        <v>2030</v>
      </c>
      <c r="H159" s="6">
        <f>SUM(J159:U159)</f>
        <v>0</v>
      </c>
      <c r="I159" s="6">
        <f>SUM(J159:U159)</f>
        <v>0</v>
      </c>
      <c r="J159" s="50"/>
      <c r="K159" s="33"/>
      <c r="M159" s="50"/>
      <c r="N159" s="50"/>
      <c r="O159" s="46"/>
      <c r="P159" s="46"/>
      <c r="Q159" s="46"/>
      <c r="R159" s="50"/>
      <c r="S159" s="50"/>
      <c r="T159" s="50"/>
      <c r="U159" s="50"/>
    </row>
    <row r="160" spans="1:21" ht="15" customHeight="1" x14ac:dyDescent="0.35">
      <c r="A160" s="12"/>
      <c r="B160" s="30" t="s">
        <v>185</v>
      </c>
      <c r="C160" s="315"/>
      <c r="D160" s="282"/>
      <c r="E160" s="142">
        <v>162447</v>
      </c>
      <c r="F160" s="143">
        <v>153019</v>
      </c>
      <c r="G160" s="396">
        <v>186351</v>
      </c>
      <c r="H160" s="19">
        <f>SUM(J160:U160)</f>
        <v>155707</v>
      </c>
      <c r="I160" s="6">
        <f>SUM(J160:U160)</f>
        <v>155707</v>
      </c>
      <c r="J160" s="33">
        <v>12987</v>
      </c>
      <c r="K160" s="252">
        <v>13247</v>
      </c>
      <c r="L160" s="50">
        <v>14081</v>
      </c>
      <c r="M160" s="50">
        <v>12647</v>
      </c>
      <c r="N160" s="50">
        <v>10840</v>
      </c>
      <c r="O160" s="50">
        <v>13339</v>
      </c>
      <c r="P160" s="34">
        <v>14066</v>
      </c>
      <c r="Q160" s="50">
        <v>12613</v>
      </c>
      <c r="R160" s="50">
        <v>13053</v>
      </c>
      <c r="S160" s="50">
        <v>13068</v>
      </c>
      <c r="T160" s="50">
        <v>12080</v>
      </c>
      <c r="U160" s="50">
        <v>13686</v>
      </c>
    </row>
    <row r="161" spans="1:22" ht="15" customHeight="1" x14ac:dyDescent="0.35">
      <c r="A161" s="12"/>
      <c r="B161" s="193" t="s">
        <v>186</v>
      </c>
      <c r="C161" s="314"/>
      <c r="D161" s="282"/>
      <c r="E161" s="142">
        <v>160169</v>
      </c>
      <c r="F161" s="143">
        <v>151149</v>
      </c>
      <c r="G161" s="396">
        <v>181489</v>
      </c>
      <c r="H161" s="19">
        <f>SUM(J161:U161)</f>
        <v>150135</v>
      </c>
      <c r="I161" s="6">
        <f>SUM(J161:U161)</f>
        <v>150135</v>
      </c>
      <c r="J161" s="138">
        <v>12242</v>
      </c>
      <c r="K161" s="252">
        <v>12682</v>
      </c>
      <c r="L161" s="410">
        <v>13565</v>
      </c>
      <c r="M161" s="50">
        <v>12217</v>
      </c>
      <c r="N161" s="50">
        <v>10511</v>
      </c>
      <c r="O161" s="50">
        <v>12861</v>
      </c>
      <c r="P161" s="50">
        <v>13662</v>
      </c>
      <c r="Q161" s="50">
        <v>12205</v>
      </c>
      <c r="R161" s="50">
        <v>12661</v>
      </c>
      <c r="S161" s="50">
        <v>12615</v>
      </c>
      <c r="T161" s="50">
        <v>11678</v>
      </c>
      <c r="U161" s="50">
        <v>13236</v>
      </c>
    </row>
    <row r="162" spans="1:22" ht="15" customHeight="1" x14ac:dyDescent="0.35">
      <c r="A162" s="12"/>
      <c r="B162" s="192" t="s">
        <v>187</v>
      </c>
      <c r="C162" s="310"/>
      <c r="D162" s="281"/>
      <c r="E162" s="333">
        <v>0.98455833333333354</v>
      </c>
      <c r="F162" s="334">
        <v>0.98677500000000007</v>
      </c>
      <c r="G162" s="401">
        <v>0.97317115096340301</v>
      </c>
      <c r="H162" s="336">
        <f>AVERAGE(J162:U162)</f>
        <v>0.96429951725512719</v>
      </c>
      <c r="I162" s="449">
        <f>AVERAGE(J162:U162)</f>
        <v>0.96429951725512719</v>
      </c>
      <c r="J162" s="254">
        <v>0.94299999999999995</v>
      </c>
      <c r="K162" s="254">
        <f t="shared" ref="K162:P162" si="18">K161/K160</f>
        <v>0.95734883369819579</v>
      </c>
      <c r="L162" s="254">
        <f t="shared" si="18"/>
        <v>0.96335487536396558</v>
      </c>
      <c r="M162" s="254">
        <f t="shared" si="18"/>
        <v>0.96599984185972954</v>
      </c>
      <c r="N162" s="254">
        <f t="shared" si="18"/>
        <v>0.96964944649446494</v>
      </c>
      <c r="O162" s="254">
        <f t="shared" si="18"/>
        <v>0.96416522977734465</v>
      </c>
      <c r="P162" s="254">
        <f t="shared" si="18"/>
        <v>0.97127825963315795</v>
      </c>
      <c r="Q162" s="254">
        <f>Q161/Q160</f>
        <v>0.96765242210417823</v>
      </c>
      <c r="R162" s="254">
        <f>R161/R160</f>
        <v>0.96996858959626142</v>
      </c>
      <c r="S162" s="254">
        <f>S161/S160</f>
        <v>0.9653351698806244</v>
      </c>
      <c r="T162" s="254">
        <f>T161/T160</f>
        <v>0.96672185430463575</v>
      </c>
      <c r="U162" s="254">
        <f>U161/U160</f>
        <v>0.96711968434896978</v>
      </c>
    </row>
    <row r="163" spans="1:22" s="126" customFormat="1" ht="16" customHeight="1" thickBot="1" x14ac:dyDescent="0.4">
      <c r="A163" s="125"/>
      <c r="B163" s="481" t="s">
        <v>188</v>
      </c>
      <c r="C163" s="482"/>
      <c r="D163" s="482"/>
      <c r="E163" s="482"/>
      <c r="F163" s="482"/>
      <c r="G163" s="482"/>
      <c r="H163" s="482"/>
      <c r="I163" s="482"/>
      <c r="J163" s="482"/>
      <c r="K163" s="482"/>
      <c r="L163" s="482"/>
      <c r="M163" s="482"/>
      <c r="N163" s="482"/>
      <c r="O163" s="482"/>
      <c r="P163" s="482"/>
      <c r="Q163" s="482"/>
      <c r="R163" s="482"/>
      <c r="S163" s="482"/>
      <c r="T163" s="482"/>
      <c r="U163" s="483"/>
    </row>
    <row r="164" spans="1:22" ht="32.25" customHeight="1" thickBot="1" x14ac:dyDescent="0.4">
      <c r="A164" s="12"/>
      <c r="B164" s="389" t="s">
        <v>234</v>
      </c>
      <c r="C164" s="313" t="s">
        <v>235</v>
      </c>
      <c r="D164" s="280"/>
      <c r="E164" s="137">
        <v>5168</v>
      </c>
      <c r="F164" s="139">
        <v>2699</v>
      </c>
      <c r="G164" s="402">
        <v>2810</v>
      </c>
      <c r="H164" s="25">
        <f>SUM(J164:V164)</f>
        <v>3414</v>
      </c>
      <c r="I164" s="25">
        <f>SUM(J164:W164)</f>
        <v>3414</v>
      </c>
      <c r="J164" s="448">
        <v>533</v>
      </c>
      <c r="K164" s="7">
        <v>269</v>
      </c>
      <c r="L164" s="7">
        <v>416</v>
      </c>
      <c r="M164" s="384">
        <v>570</v>
      </c>
      <c r="N164" s="7">
        <v>209</v>
      </c>
      <c r="O164" s="7">
        <v>96</v>
      </c>
      <c r="P164" s="8">
        <v>247</v>
      </c>
      <c r="Q164" s="8">
        <v>163</v>
      </c>
      <c r="R164" s="8">
        <v>239</v>
      </c>
      <c r="S164" s="8">
        <v>299</v>
      </c>
      <c r="T164" s="8">
        <v>132</v>
      </c>
      <c r="U164" s="8">
        <v>241</v>
      </c>
    </row>
    <row r="165" spans="1:22" ht="23.5" customHeight="1" x14ac:dyDescent="0.35">
      <c r="A165" s="12"/>
      <c r="B165" s="191" t="s">
        <v>189</v>
      </c>
      <c r="C165" s="313" t="s">
        <v>235</v>
      </c>
      <c r="D165" s="283"/>
      <c r="E165" s="137">
        <v>3802</v>
      </c>
      <c r="F165" s="139">
        <v>336</v>
      </c>
      <c r="G165" s="403">
        <v>148</v>
      </c>
      <c r="H165" s="25">
        <f>SUM(J165:V165)</f>
        <v>214</v>
      </c>
      <c r="I165" s="25">
        <f>SUM(J165:W165)</f>
        <v>214</v>
      </c>
      <c r="J165" s="447">
        <v>64</v>
      </c>
      <c r="K165" s="384">
        <v>16</v>
      </c>
      <c r="L165" s="384">
        <v>25</v>
      </c>
      <c r="M165" s="138">
        <v>10</v>
      </c>
      <c r="N165" s="384">
        <v>2</v>
      </c>
      <c r="O165" s="384">
        <v>3</v>
      </c>
      <c r="P165" s="384">
        <v>15</v>
      </c>
      <c r="Q165" s="384">
        <v>20</v>
      </c>
      <c r="R165" s="384">
        <v>14</v>
      </c>
      <c r="S165" s="384">
        <v>11</v>
      </c>
      <c r="T165" s="384">
        <v>19</v>
      </c>
      <c r="U165" s="384">
        <v>15</v>
      </c>
    </row>
    <row r="166" spans="1:22" s="126" customFormat="1" ht="16" customHeight="1" thickBot="1" x14ac:dyDescent="0.4">
      <c r="A166" s="125"/>
      <c r="B166" s="478" t="s">
        <v>104</v>
      </c>
      <c r="C166" s="479"/>
      <c r="D166" s="479"/>
      <c r="E166" s="479"/>
      <c r="F166" s="479"/>
      <c r="G166" s="479"/>
      <c r="H166" s="479"/>
      <c r="I166" s="479"/>
      <c r="J166" s="479"/>
      <c r="K166" s="479"/>
      <c r="L166" s="479"/>
      <c r="M166" s="479"/>
      <c r="N166" s="479"/>
      <c r="O166" s="479"/>
      <c r="P166" s="479"/>
      <c r="Q166" s="479"/>
      <c r="R166" s="479"/>
      <c r="S166" s="479"/>
      <c r="T166" s="479"/>
      <c r="U166" s="480"/>
    </row>
    <row r="167" spans="1:22" ht="15" customHeight="1" thickBot="1" x14ac:dyDescent="0.4">
      <c r="A167" s="12"/>
      <c r="B167" s="32" t="s">
        <v>110</v>
      </c>
      <c r="E167" s="326">
        <v>16799137.490000002</v>
      </c>
      <c r="F167" s="326">
        <v>15946063.390000001</v>
      </c>
      <c r="G167" s="392">
        <v>15420585.520000001</v>
      </c>
      <c r="H167" s="68">
        <f>SUM(J167:V167)</f>
        <v>14659646.710000001</v>
      </c>
      <c r="I167" s="68">
        <f>SUM(J167:U167)</f>
        <v>14659646.710000001</v>
      </c>
      <c r="J167" s="430">
        <v>1265056.1599999999</v>
      </c>
      <c r="K167" s="347">
        <v>1206181.53</v>
      </c>
      <c r="L167" s="431">
        <v>1185040.54</v>
      </c>
      <c r="M167" s="348">
        <v>1200860.53</v>
      </c>
      <c r="N167" s="278">
        <v>1042231.73</v>
      </c>
      <c r="O167" s="268">
        <v>1282926.03</v>
      </c>
      <c r="P167" s="268">
        <v>1180063.76</v>
      </c>
      <c r="Q167" s="268">
        <v>1096995.75</v>
      </c>
      <c r="R167" s="268">
        <v>1467712.38</v>
      </c>
      <c r="S167" s="434">
        <v>1164494.72</v>
      </c>
      <c r="T167" s="437">
        <v>1266323.6299999999</v>
      </c>
      <c r="U167" s="446">
        <v>1301759.95</v>
      </c>
    </row>
    <row r="168" spans="1:22" s="126" customFormat="1" ht="16" customHeight="1" x14ac:dyDescent="0.35">
      <c r="A168" s="125"/>
      <c r="B168" s="487" t="s">
        <v>105</v>
      </c>
      <c r="C168" s="488"/>
      <c r="D168" s="488"/>
      <c r="E168" s="488"/>
      <c r="F168" s="488"/>
      <c r="G168" s="488"/>
      <c r="H168" s="488"/>
      <c r="I168" s="488"/>
      <c r="J168" s="488"/>
      <c r="K168" s="488"/>
      <c r="L168" s="488"/>
      <c r="M168" s="488"/>
      <c r="N168" s="488"/>
      <c r="O168" s="488"/>
      <c r="P168" s="488"/>
      <c r="Q168" s="488"/>
      <c r="R168" s="488"/>
      <c r="S168" s="488"/>
      <c r="T168" s="488"/>
      <c r="U168" s="489"/>
    </row>
    <row r="169" spans="1:22" ht="20.25" customHeight="1" x14ac:dyDescent="0.35">
      <c r="A169" s="12"/>
      <c r="B169" s="32" t="s">
        <v>192</v>
      </c>
      <c r="E169" s="144"/>
      <c r="F169" s="140"/>
      <c r="G169" s="3"/>
      <c r="H169" s="3"/>
      <c r="I169" s="3"/>
      <c r="J169" s="410">
        <v>127340</v>
      </c>
      <c r="K169" s="133">
        <v>127302</v>
      </c>
      <c r="L169" s="133">
        <v>127404</v>
      </c>
      <c r="M169" s="133">
        <v>127405</v>
      </c>
      <c r="N169" s="133">
        <v>127537</v>
      </c>
      <c r="O169" s="133">
        <v>127570</v>
      </c>
      <c r="P169" s="133">
        <v>127697</v>
      </c>
      <c r="Q169" s="133">
        <v>127816</v>
      </c>
      <c r="R169" s="133">
        <v>127808</v>
      </c>
      <c r="S169" s="133">
        <v>127859</v>
      </c>
      <c r="T169" s="134">
        <v>127949</v>
      </c>
      <c r="U169" s="338">
        <v>128221</v>
      </c>
    </row>
    <row r="170" spans="1:22" ht="23.25" customHeight="1" x14ac:dyDescent="0.35">
      <c r="A170" s="182"/>
      <c r="B170" s="183" t="s">
        <v>243</v>
      </c>
      <c r="C170" s="323"/>
      <c r="D170" s="291"/>
      <c r="E170" s="145"/>
      <c r="F170" s="141"/>
      <c r="G170" s="146"/>
      <c r="H170" s="146"/>
      <c r="I170" s="146"/>
      <c r="J170" s="406">
        <f>J169/V170</f>
        <v>0.3904625819468549</v>
      </c>
      <c r="K170" s="406">
        <f>K169/V170</f>
        <v>0.39034606256477555</v>
      </c>
      <c r="L170" s="406">
        <f>L169/V170</f>
        <v>0.39065882511667271</v>
      </c>
      <c r="M170" s="406">
        <f>M169/V170</f>
        <v>0.39066189141620111</v>
      </c>
      <c r="N170" s="406">
        <f>N169/V170</f>
        <v>0.39106664295395033</v>
      </c>
      <c r="O170" s="406">
        <f>O169/V170</f>
        <v>0.39116783083838763</v>
      </c>
      <c r="P170" s="406">
        <f>P169/V170</f>
        <v>0.3915572508784948</v>
      </c>
      <c r="Q170" s="406">
        <f>Q169/V170</f>
        <v>0.39192214052237478</v>
      </c>
      <c r="R170" s="406">
        <f>R169/V170</f>
        <v>0.39189761012614754</v>
      </c>
      <c r="S170" s="406">
        <f>S169/V170</f>
        <v>0.39205399140209612</v>
      </c>
      <c r="T170" s="406">
        <f>T169/V170</f>
        <v>0.3923299583596524</v>
      </c>
      <c r="U170" s="406">
        <f>U169/V170</f>
        <v>0.39316399183137807</v>
      </c>
      <c r="V170" s="339">
        <v>326126</v>
      </c>
    </row>
    <row r="171" spans="1:22" ht="18" customHeight="1" x14ac:dyDescent="0.35">
      <c r="B171" s="478" t="s">
        <v>272</v>
      </c>
      <c r="C171" s="479"/>
      <c r="D171" s="479"/>
      <c r="E171" s="479"/>
      <c r="F171" s="479"/>
      <c r="G171" s="479"/>
      <c r="H171" s="479"/>
      <c r="I171" s="479"/>
      <c r="J171" s="479"/>
      <c r="K171" s="479"/>
      <c r="L171" s="479"/>
      <c r="M171" s="479"/>
      <c r="N171" s="479"/>
      <c r="O171" s="479"/>
      <c r="P171" s="479"/>
      <c r="Q171" s="479"/>
      <c r="R171" s="479"/>
      <c r="S171" s="479"/>
      <c r="T171" s="479"/>
      <c r="U171" s="480"/>
    </row>
    <row r="172" spans="1:22" ht="17.5" customHeight="1" x14ac:dyDescent="0.35">
      <c r="B172" s="481" t="s">
        <v>271</v>
      </c>
      <c r="C172" s="482"/>
      <c r="D172" s="482"/>
      <c r="E172" s="482"/>
      <c r="F172" s="482"/>
      <c r="G172" s="482"/>
      <c r="H172" s="482"/>
      <c r="I172" s="482"/>
      <c r="J172" s="482"/>
      <c r="K172" s="482"/>
      <c r="L172" s="482"/>
      <c r="M172" s="482"/>
      <c r="N172" s="482"/>
      <c r="O172" s="482"/>
      <c r="P172" s="482"/>
      <c r="Q172" s="482"/>
      <c r="R172" s="482"/>
      <c r="S172" s="482"/>
      <c r="T172" s="482"/>
      <c r="U172" s="483"/>
    </row>
    <row r="173" spans="1:22" ht="57" customHeight="1" x14ac:dyDescent="0.35">
      <c r="B173" s="320" t="s">
        <v>270</v>
      </c>
      <c r="G173" s="442"/>
      <c r="H173" s="442"/>
      <c r="I173" s="442"/>
      <c r="J173" s="445">
        <v>1</v>
      </c>
      <c r="K173" s="444">
        <v>1</v>
      </c>
      <c r="L173" s="444">
        <v>1</v>
      </c>
      <c r="M173" s="444">
        <v>1</v>
      </c>
      <c r="N173" s="444">
        <v>1</v>
      </c>
      <c r="O173" s="423">
        <v>1</v>
      </c>
      <c r="P173" s="445">
        <v>1</v>
      </c>
      <c r="Q173" s="444">
        <v>1</v>
      </c>
      <c r="R173" s="444">
        <v>1</v>
      </c>
      <c r="S173" s="444">
        <v>1</v>
      </c>
      <c r="T173" s="444">
        <v>1</v>
      </c>
      <c r="U173" s="444">
        <v>1</v>
      </c>
    </row>
    <row r="174" spans="1:22" ht="71.25" customHeight="1" x14ac:dyDescent="0.35">
      <c r="B174" s="320" t="s">
        <v>269</v>
      </c>
      <c r="G174" s="442"/>
      <c r="H174" s="442"/>
      <c r="I174" s="442"/>
      <c r="J174" s="445">
        <v>1</v>
      </c>
      <c r="K174" s="423">
        <v>0.99739999999999995</v>
      </c>
      <c r="L174" s="444">
        <v>1</v>
      </c>
      <c r="M174" s="444">
        <v>1</v>
      </c>
      <c r="N174" s="444">
        <v>1</v>
      </c>
      <c r="O174" s="423">
        <v>0.99780000000000002</v>
      </c>
      <c r="P174" s="445">
        <v>1</v>
      </c>
      <c r="Q174" s="444">
        <v>1</v>
      </c>
      <c r="R174" s="423">
        <v>0.99809999999999999</v>
      </c>
      <c r="S174" s="444">
        <v>1</v>
      </c>
      <c r="T174" s="444">
        <v>1</v>
      </c>
      <c r="U174" s="444">
        <v>1</v>
      </c>
    </row>
    <row r="175" spans="1:22" ht="20.5" customHeight="1" x14ac:dyDescent="0.35">
      <c r="B175" s="481" t="s">
        <v>30</v>
      </c>
      <c r="C175" s="482"/>
      <c r="D175" s="482"/>
      <c r="E175" s="482"/>
      <c r="F175" s="482"/>
      <c r="G175" s="482"/>
      <c r="H175" s="482"/>
      <c r="I175" s="482"/>
      <c r="J175" s="482"/>
      <c r="K175" s="482"/>
      <c r="L175" s="482"/>
      <c r="M175" s="482"/>
      <c r="N175" s="482"/>
      <c r="O175" s="482"/>
      <c r="P175" s="482"/>
      <c r="Q175" s="482"/>
      <c r="R175" s="482"/>
      <c r="S175" s="482"/>
      <c r="T175" s="482"/>
      <c r="U175" s="483"/>
    </row>
    <row r="176" spans="1:22" ht="29.5" customHeight="1" x14ac:dyDescent="0.35">
      <c r="B176" s="14" t="s">
        <v>268</v>
      </c>
      <c r="G176" s="442"/>
      <c r="H176" s="442"/>
      <c r="I176" s="442"/>
      <c r="J176" s="445">
        <v>1</v>
      </c>
      <c r="K176" s="423">
        <v>0.99109999999999998</v>
      </c>
      <c r="L176" s="444">
        <v>1</v>
      </c>
      <c r="M176" s="444">
        <v>1</v>
      </c>
      <c r="N176" s="444">
        <v>1</v>
      </c>
      <c r="O176" s="423">
        <v>0.99139999999999995</v>
      </c>
      <c r="P176" s="445">
        <v>1</v>
      </c>
      <c r="Q176" s="445">
        <v>1</v>
      </c>
      <c r="R176" s="445">
        <v>1</v>
      </c>
      <c r="S176" s="445">
        <v>1</v>
      </c>
      <c r="T176" s="445">
        <v>1</v>
      </c>
      <c r="U176" s="445">
        <v>1</v>
      </c>
    </row>
    <row r="177" spans="2:30" ht="29.5" customHeight="1" x14ac:dyDescent="0.35">
      <c r="B177" s="320" t="s">
        <v>267</v>
      </c>
      <c r="G177" s="442"/>
      <c r="H177" s="442"/>
      <c r="I177" s="442"/>
      <c r="J177" s="445">
        <v>1</v>
      </c>
      <c r="K177" s="444">
        <v>1</v>
      </c>
      <c r="L177" s="444">
        <v>1</v>
      </c>
      <c r="M177" s="423">
        <v>0.88890000000000002</v>
      </c>
      <c r="N177" s="423">
        <v>0.85709999999999997</v>
      </c>
      <c r="O177" s="423">
        <v>1</v>
      </c>
      <c r="P177" s="445">
        <v>1</v>
      </c>
      <c r="Q177" s="445">
        <v>1</v>
      </c>
      <c r="R177" s="445">
        <v>1</v>
      </c>
      <c r="S177" s="340">
        <v>0.88890000000000002</v>
      </c>
      <c r="T177" s="445">
        <v>1</v>
      </c>
      <c r="U177" s="445">
        <v>1</v>
      </c>
    </row>
    <row r="178" spans="2:30" ht="18.649999999999999" customHeight="1" x14ac:dyDescent="0.35">
      <c r="B178" s="481" t="s">
        <v>266</v>
      </c>
      <c r="C178" s="482"/>
      <c r="D178" s="482"/>
      <c r="E178" s="482"/>
      <c r="F178" s="482"/>
      <c r="G178" s="482"/>
      <c r="H178" s="482"/>
      <c r="I178" s="482"/>
      <c r="J178" s="482"/>
      <c r="K178" s="482"/>
      <c r="L178" s="482"/>
      <c r="M178" s="482"/>
      <c r="N178" s="482"/>
      <c r="O178" s="482"/>
      <c r="P178" s="482"/>
      <c r="Q178" s="482"/>
      <c r="R178" s="482"/>
      <c r="S178" s="482"/>
      <c r="T178" s="482"/>
      <c r="U178" s="483"/>
    </row>
    <row r="179" spans="2:30" ht="52.5" customHeight="1" x14ac:dyDescent="0.35">
      <c r="B179" s="320" t="s">
        <v>265</v>
      </c>
      <c r="G179" s="442"/>
      <c r="H179" s="442"/>
      <c r="I179" s="442"/>
      <c r="J179" s="423">
        <v>0.97419999999999995</v>
      </c>
      <c r="K179" s="423">
        <v>0.99160000000000004</v>
      </c>
      <c r="L179" s="423">
        <v>0.98650000000000004</v>
      </c>
      <c r="M179" s="423">
        <v>0.98119999999999996</v>
      </c>
      <c r="N179" s="423">
        <v>0.98609999999999998</v>
      </c>
      <c r="O179" s="423">
        <v>0.98129999999999995</v>
      </c>
      <c r="P179" s="423">
        <v>0.96140000000000003</v>
      </c>
      <c r="Q179" s="423">
        <v>0.97519999999999996</v>
      </c>
      <c r="R179" s="423">
        <v>0.97150000000000003</v>
      </c>
      <c r="S179" s="423">
        <v>0.97640000000000005</v>
      </c>
      <c r="T179" s="340">
        <v>0.96699999999999997</v>
      </c>
      <c r="U179" s="423">
        <v>0.96240000000000003</v>
      </c>
    </row>
    <row r="180" spans="2:30" ht="45" customHeight="1" x14ac:dyDescent="0.35">
      <c r="B180" s="320" t="s">
        <v>264</v>
      </c>
      <c r="G180" s="442"/>
      <c r="H180" s="442"/>
      <c r="I180" s="442"/>
      <c r="J180" s="423">
        <v>0.96140000000000003</v>
      </c>
      <c r="K180" s="423">
        <v>0.97389999999999999</v>
      </c>
      <c r="L180" s="423">
        <v>0.95909999999999995</v>
      </c>
      <c r="M180" s="423">
        <v>0.97270000000000001</v>
      </c>
      <c r="N180" s="423">
        <v>0.96970000000000001</v>
      </c>
      <c r="O180" s="423">
        <v>0.96840000000000004</v>
      </c>
      <c r="P180" s="423">
        <v>0.96189999999999998</v>
      </c>
      <c r="Q180" s="423">
        <v>0.96460000000000001</v>
      </c>
      <c r="R180" s="423">
        <v>0.95320000000000005</v>
      </c>
      <c r="S180" s="423">
        <v>0.95709999999999995</v>
      </c>
      <c r="T180" s="423">
        <v>0.96060000000000001</v>
      </c>
      <c r="U180" s="423">
        <v>0.95430000000000004</v>
      </c>
    </row>
    <row r="181" spans="2:30" ht="29.5" customHeight="1" x14ac:dyDescent="0.35">
      <c r="B181" s="14" t="s">
        <v>263</v>
      </c>
      <c r="G181" s="442"/>
      <c r="H181" s="442"/>
      <c r="I181" s="442"/>
      <c r="J181" s="444">
        <v>1</v>
      </c>
      <c r="K181" s="423">
        <v>0.98109999999999997</v>
      </c>
      <c r="L181" s="423">
        <v>0.98529999999999995</v>
      </c>
      <c r="M181" s="423">
        <v>0.97570000000000001</v>
      </c>
      <c r="N181" s="423">
        <v>0.97460000000000002</v>
      </c>
      <c r="O181" s="423">
        <v>0.97940000000000005</v>
      </c>
      <c r="P181" s="423">
        <v>0.97509999999999997</v>
      </c>
      <c r="Q181" s="423">
        <v>0.95050000000000001</v>
      </c>
      <c r="R181" s="423">
        <v>0.95650000000000002</v>
      </c>
      <c r="S181" s="423">
        <v>0.97860000000000003</v>
      </c>
      <c r="T181" s="423">
        <v>0.98009999999999997</v>
      </c>
      <c r="U181" s="423">
        <v>0.97560000000000002</v>
      </c>
    </row>
    <row r="182" spans="2:30" s="188" customFormat="1" ht="15.65" customHeight="1" x14ac:dyDescent="0.35">
      <c r="B182" s="481" t="s">
        <v>24</v>
      </c>
      <c r="C182" s="482"/>
      <c r="D182" s="482"/>
      <c r="E182" s="482"/>
      <c r="F182" s="482"/>
      <c r="G182" s="482"/>
      <c r="H182" s="482"/>
      <c r="I182" s="482"/>
      <c r="J182" s="482"/>
      <c r="K182" s="482"/>
      <c r="L182" s="482"/>
      <c r="M182" s="482"/>
      <c r="N182" s="482"/>
      <c r="O182" s="482"/>
      <c r="P182" s="482"/>
      <c r="Q182" s="482"/>
      <c r="R182" s="482"/>
      <c r="S182" s="482"/>
      <c r="T182" s="482"/>
      <c r="U182" s="483"/>
      <c r="V182" s="14"/>
      <c r="W182" s="14"/>
      <c r="X182" s="14"/>
      <c r="Y182" s="14"/>
      <c r="Z182" s="14"/>
      <c r="AA182" s="14"/>
      <c r="AB182" s="14"/>
      <c r="AC182" s="14"/>
      <c r="AD182" s="14"/>
    </row>
    <row r="183" spans="2:30" ht="29.5" customHeight="1" x14ac:dyDescent="0.35">
      <c r="B183" s="320" t="s">
        <v>262</v>
      </c>
      <c r="G183" s="442"/>
      <c r="H183" s="442"/>
      <c r="I183" s="442"/>
      <c r="J183" s="444">
        <v>1</v>
      </c>
      <c r="K183" s="444">
        <v>1</v>
      </c>
      <c r="L183" s="444">
        <v>1</v>
      </c>
      <c r="M183" s="445">
        <v>1</v>
      </c>
      <c r="N183" s="445">
        <v>1</v>
      </c>
      <c r="O183" s="445">
        <v>1</v>
      </c>
      <c r="P183" s="444">
        <v>1</v>
      </c>
      <c r="Q183" s="445">
        <v>1</v>
      </c>
      <c r="R183" s="445">
        <v>1</v>
      </c>
      <c r="S183" s="444">
        <v>0.96</v>
      </c>
      <c r="T183" s="445">
        <v>1</v>
      </c>
      <c r="U183" s="445">
        <v>1</v>
      </c>
    </row>
    <row r="184" spans="2:30" ht="29.5" customHeight="1" x14ac:dyDescent="0.35">
      <c r="B184" s="320" t="s">
        <v>261</v>
      </c>
      <c r="G184" s="442"/>
      <c r="H184" s="442"/>
      <c r="I184" s="442"/>
      <c r="J184" s="444">
        <v>1</v>
      </c>
      <c r="K184" s="444">
        <v>1</v>
      </c>
      <c r="L184" s="444">
        <v>1</v>
      </c>
      <c r="M184" s="445">
        <v>0.94</v>
      </c>
      <c r="N184" s="445">
        <v>1</v>
      </c>
      <c r="O184" s="445">
        <v>1</v>
      </c>
      <c r="P184" s="445">
        <v>1</v>
      </c>
      <c r="Q184" s="445">
        <v>1</v>
      </c>
      <c r="R184" s="445">
        <v>1</v>
      </c>
      <c r="S184" s="445">
        <v>1</v>
      </c>
      <c r="T184" s="445">
        <v>1</v>
      </c>
      <c r="U184" s="445">
        <v>1</v>
      </c>
    </row>
    <row r="185" spans="2:30" ht="18" customHeight="1" x14ac:dyDescent="0.35">
      <c r="B185" s="481" t="s">
        <v>260</v>
      </c>
      <c r="C185" s="482"/>
      <c r="D185" s="482"/>
      <c r="E185" s="482"/>
      <c r="F185" s="482"/>
      <c r="G185" s="482"/>
      <c r="H185" s="482"/>
      <c r="I185" s="482"/>
      <c r="J185" s="482"/>
      <c r="K185" s="482"/>
      <c r="L185" s="482"/>
      <c r="M185" s="482"/>
      <c r="N185" s="482"/>
      <c r="O185" s="482"/>
      <c r="P185" s="482"/>
      <c r="Q185" s="482"/>
      <c r="R185" s="482"/>
      <c r="S185" s="482"/>
      <c r="T185" s="482"/>
      <c r="U185" s="483"/>
    </row>
    <row r="186" spans="2:30" ht="29.5" customHeight="1" x14ac:dyDescent="0.35">
      <c r="B186" s="320" t="s">
        <v>259</v>
      </c>
      <c r="G186" s="442"/>
      <c r="H186" s="442"/>
      <c r="I186" s="442"/>
      <c r="J186" s="444">
        <v>1</v>
      </c>
      <c r="K186" s="444">
        <v>1</v>
      </c>
      <c r="L186" s="423">
        <v>0.9677</v>
      </c>
      <c r="M186" s="444">
        <v>0.83</v>
      </c>
      <c r="N186" s="444">
        <v>1</v>
      </c>
      <c r="O186" s="423">
        <v>0.94</v>
      </c>
      <c r="P186" s="445">
        <v>1</v>
      </c>
      <c r="Q186" s="423">
        <v>0.9032</v>
      </c>
      <c r="R186" s="444">
        <v>1</v>
      </c>
      <c r="S186" s="445">
        <v>0.93</v>
      </c>
      <c r="T186" s="444">
        <v>0.94</v>
      </c>
      <c r="U186" s="444">
        <v>0.96</v>
      </c>
    </row>
    <row r="187" spans="2:30" ht="29.5" customHeight="1" x14ac:dyDescent="0.35">
      <c r="B187" s="320" t="s">
        <v>258</v>
      </c>
      <c r="G187" s="442"/>
      <c r="H187" s="442"/>
      <c r="I187" s="442"/>
      <c r="J187" s="444">
        <v>0.95</v>
      </c>
      <c r="K187" s="444">
        <v>1</v>
      </c>
      <c r="L187" s="423">
        <v>0.96299999999999997</v>
      </c>
      <c r="M187" s="444">
        <v>0.94</v>
      </c>
      <c r="N187" s="444">
        <v>1</v>
      </c>
      <c r="O187" s="444">
        <v>0.97</v>
      </c>
      <c r="P187" s="445">
        <v>1</v>
      </c>
      <c r="Q187" s="444">
        <v>0.96</v>
      </c>
      <c r="R187" s="444">
        <v>1</v>
      </c>
      <c r="S187" s="444">
        <v>0.96</v>
      </c>
      <c r="T187" s="444">
        <v>0.97</v>
      </c>
      <c r="U187" s="444">
        <v>0.94</v>
      </c>
    </row>
    <row r="188" spans="2:30" ht="19.5" customHeight="1" x14ac:dyDescent="0.35">
      <c r="B188" s="481" t="s">
        <v>104</v>
      </c>
      <c r="C188" s="482"/>
      <c r="D188" s="482"/>
      <c r="E188" s="482"/>
      <c r="F188" s="482"/>
      <c r="G188" s="482"/>
      <c r="H188" s="482"/>
      <c r="I188" s="482"/>
      <c r="J188" s="482"/>
      <c r="K188" s="482"/>
      <c r="L188" s="482"/>
      <c r="M188" s="482"/>
      <c r="N188" s="482"/>
      <c r="O188" s="482"/>
      <c r="P188" s="482"/>
      <c r="Q188" s="482"/>
      <c r="R188" s="482"/>
      <c r="S188" s="482"/>
      <c r="T188" s="482"/>
      <c r="U188" s="483"/>
    </row>
    <row r="189" spans="2:30" ht="29.5" customHeight="1" x14ac:dyDescent="0.25">
      <c r="B189" s="14" t="s">
        <v>257</v>
      </c>
      <c r="G189" s="442"/>
      <c r="H189" s="442"/>
      <c r="I189" s="442"/>
      <c r="J189" s="423">
        <v>0.89219999999999999</v>
      </c>
      <c r="K189" s="423">
        <v>0.89880000000000004</v>
      </c>
      <c r="L189" s="423">
        <v>0.91520000000000001</v>
      </c>
      <c r="M189" s="443">
        <v>0.92359999999999998</v>
      </c>
      <c r="N189" s="423">
        <v>0.93179999999999996</v>
      </c>
      <c r="O189" s="423">
        <v>0.94099999999999995</v>
      </c>
      <c r="P189" s="423">
        <v>0.94969999999999999</v>
      </c>
      <c r="Q189" s="423">
        <v>0.95899999999999996</v>
      </c>
      <c r="R189" s="423">
        <v>0.96560000000000001</v>
      </c>
      <c r="S189" s="423">
        <v>0.97370000000000001</v>
      </c>
      <c r="T189" s="423">
        <v>0.97519999999999996</v>
      </c>
      <c r="U189" s="423">
        <v>0.97589999999999999</v>
      </c>
    </row>
    <row r="190" spans="2:30" ht="29.5" customHeight="1" x14ac:dyDescent="0.25">
      <c r="B190" s="14" t="s">
        <v>256</v>
      </c>
      <c r="G190" s="442"/>
      <c r="H190" s="442"/>
      <c r="I190" s="442"/>
      <c r="J190" s="423">
        <v>0.90139999999999998</v>
      </c>
      <c r="K190" s="423">
        <v>0.89249999999999996</v>
      </c>
      <c r="L190" s="423">
        <v>0.89370000000000005</v>
      </c>
      <c r="M190" s="443">
        <v>0.88970000000000005</v>
      </c>
      <c r="N190" s="423">
        <v>0.89600000000000002</v>
      </c>
      <c r="O190" s="423">
        <v>0.88949999999999996</v>
      </c>
      <c r="P190" s="423">
        <v>0.90410000000000001</v>
      </c>
      <c r="Q190" s="423">
        <v>0.90080000000000005</v>
      </c>
      <c r="R190" s="423">
        <v>0.90269999999999995</v>
      </c>
      <c r="S190" s="423">
        <v>0.90100000000000002</v>
      </c>
      <c r="T190" s="423">
        <v>0.90290000000000004</v>
      </c>
      <c r="U190" s="444">
        <v>0.91</v>
      </c>
    </row>
    <row r="191" spans="2:30" ht="29.5" customHeight="1" x14ac:dyDescent="0.35">
      <c r="B191" s="14" t="s">
        <v>255</v>
      </c>
      <c r="G191" s="442"/>
      <c r="H191" s="442"/>
      <c r="I191" s="442"/>
      <c r="J191" s="423">
        <v>0.68799999999999994</v>
      </c>
      <c r="K191" s="423">
        <v>0.69440000000000002</v>
      </c>
      <c r="L191" s="423">
        <v>0.69499999999999995</v>
      </c>
      <c r="M191" s="423">
        <v>0.69310000000000005</v>
      </c>
      <c r="N191" s="423">
        <v>0.68410000000000004</v>
      </c>
      <c r="O191" s="423">
        <v>0.68720000000000003</v>
      </c>
      <c r="P191" s="423">
        <v>0.68579999999999997</v>
      </c>
      <c r="Q191" s="423">
        <v>0.68320000000000003</v>
      </c>
      <c r="R191" s="423">
        <v>0.68620000000000003</v>
      </c>
      <c r="S191" s="423">
        <v>0.68740000000000001</v>
      </c>
      <c r="T191" s="423">
        <v>0.68720000000000003</v>
      </c>
      <c r="U191" s="423">
        <v>0.68779999999999997</v>
      </c>
    </row>
    <row r="192" spans="2:30" ht="29.5" customHeight="1" x14ac:dyDescent="0.35">
      <c r="B192" s="14" t="s">
        <v>254</v>
      </c>
      <c r="G192" s="442"/>
      <c r="H192" s="442"/>
      <c r="I192" s="442"/>
      <c r="J192" s="423">
        <v>0.37780000000000002</v>
      </c>
      <c r="K192" s="423">
        <v>0.45950000000000002</v>
      </c>
      <c r="L192" s="423">
        <v>0.52170000000000005</v>
      </c>
      <c r="M192" s="423">
        <v>0.56910000000000005</v>
      </c>
      <c r="N192" s="423">
        <v>0.58589999999999998</v>
      </c>
      <c r="O192" s="423">
        <v>0.621</v>
      </c>
      <c r="P192" s="423">
        <v>0.64070000000000005</v>
      </c>
      <c r="Q192" s="423">
        <v>0.65310000000000001</v>
      </c>
      <c r="R192" s="423">
        <v>0.67800000000000005</v>
      </c>
      <c r="S192" s="423">
        <v>0.68910000000000005</v>
      </c>
      <c r="T192" s="423">
        <v>0.7006</v>
      </c>
      <c r="U192" s="423">
        <v>0.71150000000000002</v>
      </c>
    </row>
    <row r="193" ht="29.5" customHeight="1" x14ac:dyDescent="0.35"/>
  </sheetData>
  <mergeCells count="4">
    <mergeCell ref="G53:G54"/>
    <mergeCell ref="H53:H54"/>
    <mergeCell ref="I53:I54"/>
    <mergeCell ref="B4:U4"/>
  </mergeCells>
  <pageMargins left="0.25" right="0.25" top="0.75" bottom="0.75" header="0.3" footer="0.3"/>
  <pageSetup scale="3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976FA-12E8-41A1-B478-4A05F7FF343A}">
  <sheetPr>
    <pageSetUpPr fitToPage="1"/>
  </sheetPr>
  <dimension ref="A1:V241"/>
  <sheetViews>
    <sheetView topLeftCell="B1" zoomScaleNormal="100" workbookViewId="0">
      <pane ySplit="1" topLeftCell="A82" activePane="bottomLeft" state="frozen"/>
      <selection activeCell="B1" sqref="B1"/>
      <selection pane="bottomLeft" activeCell="B100" sqref="B100:T100"/>
    </sheetView>
  </sheetViews>
  <sheetFormatPr defaultColWidth="8.81640625" defaultRowHeight="13" x14ac:dyDescent="0.35"/>
  <cols>
    <col min="1" max="1" width="9.1796875" style="14" hidden="1" customWidth="1"/>
    <col min="2" max="2" width="39.1796875" style="14" customWidth="1"/>
    <col min="3" max="3" width="1.453125" style="14" hidden="1" customWidth="1"/>
    <col min="4" max="4" width="15.81640625" style="284" hidden="1" customWidth="1"/>
    <col min="5" max="6" width="15.81640625" style="138" hidden="1" customWidth="1"/>
    <col min="7" max="8" width="15.81640625" style="124" customWidth="1"/>
    <col min="9" max="9" width="15.81640625" style="138" customWidth="1"/>
    <col min="10" max="13" width="19.54296875" style="138" customWidth="1"/>
    <col min="14" max="14" width="19.54296875" style="326" customWidth="1"/>
    <col min="15" max="20" width="19.54296875" style="138" customWidth="1"/>
    <col min="21" max="21" width="19.54296875" style="14" customWidth="1"/>
    <col min="22" max="16384" width="8.81640625" style="14"/>
  </cols>
  <sheetData>
    <row r="1" spans="1:22" s="199" customFormat="1" ht="28.5" customHeight="1" x14ac:dyDescent="0.35">
      <c r="A1" s="200"/>
      <c r="B1" s="201"/>
      <c r="C1" s="201"/>
      <c r="D1" s="295"/>
      <c r="E1" s="202" t="s">
        <v>220</v>
      </c>
      <c r="F1" s="203" t="s">
        <v>227</v>
      </c>
      <c r="G1" s="204" t="s">
        <v>232</v>
      </c>
      <c r="H1" s="204" t="s">
        <v>239</v>
      </c>
      <c r="I1" s="205" t="s">
        <v>1</v>
      </c>
      <c r="J1" s="202" t="s">
        <v>2</v>
      </c>
      <c r="K1" s="202" t="s">
        <v>3</v>
      </c>
      <c r="L1" s="202" t="s">
        <v>4</v>
      </c>
      <c r="M1" s="202" t="s">
        <v>5</v>
      </c>
      <c r="N1" s="357" t="s">
        <v>6</v>
      </c>
      <c r="O1" s="202" t="s">
        <v>7</v>
      </c>
      <c r="P1" s="202" t="s">
        <v>8</v>
      </c>
      <c r="Q1" s="202" t="s">
        <v>9</v>
      </c>
      <c r="R1" s="202" t="s">
        <v>10</v>
      </c>
      <c r="S1" s="202" t="s">
        <v>11</v>
      </c>
      <c r="T1" s="202" t="s">
        <v>12</v>
      </c>
    </row>
    <row r="2" spans="1:22" s="126" customFormat="1" ht="16" customHeight="1" x14ac:dyDescent="0.35">
      <c r="A2" s="125"/>
      <c r="B2" s="498" t="s">
        <v>101</v>
      </c>
      <c r="C2" s="500"/>
      <c r="D2" s="500"/>
      <c r="E2" s="500"/>
      <c r="F2" s="500"/>
      <c r="G2" s="500"/>
      <c r="H2" s="500"/>
      <c r="I2" s="500"/>
      <c r="J2" s="500"/>
      <c r="K2" s="500"/>
      <c r="L2" s="500"/>
      <c r="M2" s="500"/>
      <c r="N2" s="500"/>
      <c r="O2" s="500"/>
      <c r="P2" s="500"/>
      <c r="Q2" s="500"/>
      <c r="R2" s="500"/>
      <c r="S2" s="500"/>
      <c r="T2" s="501"/>
    </row>
    <row r="3" spans="1:22" s="126" customFormat="1" ht="16" customHeight="1" x14ac:dyDescent="0.35">
      <c r="A3" s="125"/>
      <c r="B3" s="517"/>
      <c r="C3" s="518"/>
      <c r="D3" s="518"/>
      <c r="E3" s="518"/>
      <c r="F3" s="518"/>
      <c r="G3" s="518"/>
      <c r="H3" s="518"/>
      <c r="I3" s="518"/>
      <c r="J3" s="518"/>
      <c r="K3" s="518"/>
      <c r="L3" s="518"/>
      <c r="M3" s="518"/>
      <c r="N3" s="518"/>
      <c r="O3" s="518"/>
      <c r="P3" s="518"/>
      <c r="Q3" s="518"/>
      <c r="R3" s="518"/>
      <c r="S3" s="518"/>
      <c r="T3" s="519"/>
    </row>
    <row r="4" spans="1:22" s="126" customFormat="1" ht="13" customHeight="1" x14ac:dyDescent="0.35">
      <c r="A4" s="125"/>
      <c r="B4" s="522" t="s">
        <v>13</v>
      </c>
      <c r="C4" s="523"/>
      <c r="D4" s="523"/>
      <c r="E4" s="523"/>
      <c r="F4" s="523"/>
      <c r="G4" s="523"/>
      <c r="H4" s="523"/>
      <c r="I4" s="523"/>
      <c r="J4" s="523"/>
      <c r="K4" s="523"/>
      <c r="L4" s="523"/>
      <c r="M4" s="523"/>
      <c r="N4" s="523"/>
      <c r="O4" s="523"/>
      <c r="P4" s="523"/>
      <c r="Q4" s="523"/>
      <c r="R4" s="523"/>
      <c r="S4" s="523"/>
      <c r="T4" s="524"/>
    </row>
    <row r="5" spans="1:22" ht="30" customHeight="1" x14ac:dyDescent="0.35">
      <c r="A5" s="12"/>
      <c r="B5" s="5" t="s">
        <v>118</v>
      </c>
      <c r="C5" s="306" t="s">
        <v>211</v>
      </c>
      <c r="D5" s="280"/>
      <c r="E5" s="124">
        <v>3067</v>
      </c>
      <c r="F5" s="124">
        <v>3153</v>
      </c>
      <c r="G5" s="391">
        <v>2758</v>
      </c>
      <c r="H5" s="6">
        <f>SUM(J5:U5)</f>
        <v>2081</v>
      </c>
      <c r="I5" s="7">
        <v>144</v>
      </c>
      <c r="J5" s="8">
        <v>145</v>
      </c>
      <c r="K5" s="8">
        <v>143</v>
      </c>
      <c r="L5" s="8">
        <v>187</v>
      </c>
      <c r="M5" s="8">
        <v>198</v>
      </c>
      <c r="N5" s="8">
        <v>189</v>
      </c>
      <c r="O5" s="8">
        <v>195</v>
      </c>
      <c r="P5" s="8">
        <v>196</v>
      </c>
      <c r="Q5" s="8">
        <v>232</v>
      </c>
      <c r="R5" s="8">
        <v>215</v>
      </c>
      <c r="S5" s="8">
        <v>214</v>
      </c>
      <c r="T5" s="9">
        <v>167</v>
      </c>
    </row>
    <row r="6" spans="1:22" ht="21" customHeight="1" x14ac:dyDescent="0.35">
      <c r="A6" s="12"/>
      <c r="B6" s="10" t="s">
        <v>100</v>
      </c>
      <c r="C6" s="306" t="s">
        <v>211</v>
      </c>
      <c r="D6" s="281"/>
      <c r="E6" s="124">
        <v>1429</v>
      </c>
      <c r="F6" s="124">
        <v>1390</v>
      </c>
      <c r="G6" s="391">
        <v>1459</v>
      </c>
      <c r="H6" s="6">
        <f t="shared" ref="G6:H11" si="0">SUM(J6:U6)</f>
        <v>1240</v>
      </c>
      <c r="I6" s="7">
        <v>79</v>
      </c>
      <c r="J6" s="8">
        <v>85</v>
      </c>
      <c r="K6" s="8">
        <v>84</v>
      </c>
      <c r="L6" s="8">
        <v>121</v>
      </c>
      <c r="M6" s="8">
        <v>112</v>
      </c>
      <c r="N6" s="8">
        <v>115</v>
      </c>
      <c r="O6" s="8">
        <v>108</v>
      </c>
      <c r="P6" s="8">
        <v>111</v>
      </c>
      <c r="Q6" s="8">
        <v>142</v>
      </c>
      <c r="R6" s="8">
        <v>135</v>
      </c>
      <c r="S6" s="8">
        <v>136</v>
      </c>
      <c r="T6" s="9">
        <v>91</v>
      </c>
    </row>
    <row r="7" spans="1:22" ht="34" customHeight="1" x14ac:dyDescent="0.35">
      <c r="A7" s="12"/>
      <c r="B7" s="18" t="s">
        <v>119</v>
      </c>
      <c r="C7" s="306" t="s">
        <v>211</v>
      </c>
      <c r="D7" s="282"/>
      <c r="E7" s="124">
        <v>3905</v>
      </c>
      <c r="F7" s="124">
        <v>5404</v>
      </c>
      <c r="G7" s="391">
        <v>3641</v>
      </c>
      <c r="H7" s="6">
        <f t="shared" si="0"/>
        <v>3993</v>
      </c>
      <c r="I7" s="7">
        <v>381</v>
      </c>
      <c r="J7" s="8">
        <v>393</v>
      </c>
      <c r="K7" s="138">
        <v>321</v>
      </c>
      <c r="L7" s="8">
        <v>399</v>
      </c>
      <c r="M7" s="8">
        <v>396</v>
      </c>
      <c r="N7" s="8">
        <v>392</v>
      </c>
      <c r="O7" s="8">
        <v>410</v>
      </c>
      <c r="P7" s="8">
        <v>404</v>
      </c>
      <c r="Q7" s="8">
        <v>452</v>
      </c>
      <c r="R7" s="8">
        <v>500</v>
      </c>
      <c r="S7" s="8">
        <v>326</v>
      </c>
      <c r="T7" s="9" t="s">
        <v>41</v>
      </c>
    </row>
    <row r="8" spans="1:22" ht="28" customHeight="1" x14ac:dyDescent="0.35">
      <c r="A8" s="12"/>
      <c r="B8" s="5" t="s">
        <v>120</v>
      </c>
      <c r="C8" s="306" t="s">
        <v>211</v>
      </c>
      <c r="D8" s="280"/>
      <c r="E8" s="124">
        <v>205</v>
      </c>
      <c r="F8" s="124">
        <v>295</v>
      </c>
      <c r="G8" s="391">
        <v>400</v>
      </c>
      <c r="H8" s="6">
        <f t="shared" si="0"/>
        <v>294</v>
      </c>
      <c r="I8" s="7">
        <v>20</v>
      </c>
      <c r="J8" s="8">
        <v>19</v>
      </c>
      <c r="K8" s="138">
        <v>32</v>
      </c>
      <c r="L8" s="8">
        <v>32</v>
      </c>
      <c r="M8" s="8">
        <v>36</v>
      </c>
      <c r="N8" s="8">
        <v>20</v>
      </c>
      <c r="O8" s="8">
        <v>25</v>
      </c>
      <c r="P8" s="8">
        <v>30</v>
      </c>
      <c r="Q8" s="8">
        <v>36</v>
      </c>
      <c r="R8" s="8">
        <v>24</v>
      </c>
      <c r="S8" s="8">
        <v>24</v>
      </c>
      <c r="T8" s="9">
        <v>16</v>
      </c>
    </row>
    <row r="9" spans="1:22" ht="1.5" customHeight="1" x14ac:dyDescent="0.35">
      <c r="A9" s="12"/>
      <c r="B9" s="191" t="s">
        <v>111</v>
      </c>
      <c r="C9" s="306" t="s">
        <v>211</v>
      </c>
      <c r="D9" s="283"/>
      <c r="E9" s="124">
        <v>0</v>
      </c>
      <c r="F9" s="124">
        <v>0</v>
      </c>
      <c r="G9" s="391">
        <v>0</v>
      </c>
      <c r="H9" s="6">
        <f t="shared" si="0"/>
        <v>0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22" ht="23.5" customHeight="1" x14ac:dyDescent="0.35">
      <c r="A10" s="12"/>
      <c r="B10" s="18" t="s">
        <v>121</v>
      </c>
      <c r="C10" s="306" t="s">
        <v>211</v>
      </c>
      <c r="D10" s="282"/>
      <c r="E10" s="124">
        <v>1188</v>
      </c>
      <c r="F10" s="124">
        <v>1107</v>
      </c>
      <c r="G10" s="391">
        <v>1057</v>
      </c>
      <c r="H10" s="6">
        <f t="shared" si="0"/>
        <v>946</v>
      </c>
      <c r="I10" s="7">
        <v>59</v>
      </c>
      <c r="J10" s="8">
        <v>66</v>
      </c>
      <c r="K10" s="8">
        <v>52</v>
      </c>
      <c r="L10" s="8">
        <v>89</v>
      </c>
      <c r="M10" s="8">
        <v>76</v>
      </c>
      <c r="N10" s="8">
        <v>95</v>
      </c>
      <c r="O10" s="8">
        <v>83</v>
      </c>
      <c r="P10" s="8">
        <v>81</v>
      </c>
      <c r="Q10" s="8">
        <v>106</v>
      </c>
      <c r="R10" s="8">
        <v>111</v>
      </c>
      <c r="S10" s="8">
        <v>112</v>
      </c>
      <c r="T10" s="9">
        <v>75</v>
      </c>
    </row>
    <row r="11" spans="1:22" ht="2.5" hidden="1" customHeight="1" x14ac:dyDescent="0.35">
      <c r="A11" s="12"/>
      <c r="B11" s="192" t="s">
        <v>112</v>
      </c>
      <c r="C11" s="306" t="s">
        <v>211</v>
      </c>
      <c r="D11" s="281"/>
      <c r="E11" s="124">
        <v>0</v>
      </c>
      <c r="F11" s="124">
        <v>0</v>
      </c>
      <c r="G11" s="391">
        <f t="shared" si="0"/>
        <v>0</v>
      </c>
      <c r="H11" s="6">
        <f t="shared" si="0"/>
        <v>0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V11" s="328"/>
    </row>
    <row r="12" spans="1:22" ht="15" hidden="1" customHeight="1" x14ac:dyDescent="0.35">
      <c r="A12" s="12"/>
      <c r="B12" s="508" t="s">
        <v>14</v>
      </c>
      <c r="C12" s="509"/>
      <c r="D12" s="509"/>
      <c r="E12" s="520"/>
      <c r="F12" s="520"/>
      <c r="G12" s="520"/>
      <c r="H12" s="520"/>
      <c r="I12" s="520"/>
      <c r="J12" s="520"/>
      <c r="K12" s="520"/>
      <c r="L12" s="520"/>
      <c r="M12" s="520"/>
      <c r="N12" s="520"/>
      <c r="O12" s="520"/>
      <c r="P12" s="520"/>
      <c r="Q12" s="520"/>
      <c r="R12" s="520"/>
      <c r="S12" s="520"/>
      <c r="T12" s="521"/>
      <c r="V12" s="328"/>
    </row>
    <row r="13" spans="1:22" ht="12.75" hidden="1" customHeight="1" x14ac:dyDescent="0.35">
      <c r="A13" s="12"/>
      <c r="B13" s="206" t="s">
        <v>196</v>
      </c>
      <c r="C13" s="181"/>
      <c r="E13" s="207"/>
      <c r="F13" s="208"/>
      <c r="G13" s="214"/>
      <c r="H13" s="214"/>
      <c r="I13" s="209"/>
      <c r="J13" s="8"/>
      <c r="K13" s="8"/>
      <c r="L13" s="8"/>
      <c r="M13" s="8"/>
      <c r="N13" s="268"/>
      <c r="O13" s="8"/>
      <c r="P13" s="8"/>
      <c r="Q13" s="8"/>
      <c r="R13" s="8"/>
      <c r="S13" s="8"/>
      <c r="T13" s="9"/>
      <c r="V13" s="328"/>
    </row>
    <row r="14" spans="1:22" ht="12.75" hidden="1" customHeight="1" x14ac:dyDescent="0.35">
      <c r="A14" s="12"/>
      <c r="B14" s="213" t="s">
        <v>15</v>
      </c>
      <c r="C14" s="311"/>
      <c r="E14" s="207"/>
      <c r="F14" s="208"/>
      <c r="G14" s="215"/>
      <c r="H14" s="215"/>
      <c r="I14" s="7"/>
      <c r="J14" s="8">
        <v>117</v>
      </c>
      <c r="K14" s="8"/>
      <c r="L14" s="8"/>
      <c r="M14" s="8"/>
      <c r="N14" s="268"/>
      <c r="O14" s="8"/>
      <c r="P14" s="8"/>
      <c r="Q14" s="8"/>
      <c r="R14" s="8"/>
      <c r="S14" s="8"/>
      <c r="T14" s="9"/>
      <c r="V14" s="328"/>
    </row>
    <row r="15" spans="1:22" hidden="1" x14ac:dyDescent="0.35">
      <c r="A15" s="12"/>
      <c r="B15" s="213" t="s">
        <v>16</v>
      </c>
      <c r="C15" s="311"/>
      <c r="E15" s="207"/>
      <c r="F15" s="208"/>
      <c r="G15" s="210"/>
      <c r="H15" s="210"/>
      <c r="I15" s="7"/>
      <c r="J15" s="8">
        <v>93</v>
      </c>
      <c r="K15" s="8"/>
      <c r="L15" s="8"/>
      <c r="M15" s="8"/>
      <c r="N15" s="268"/>
      <c r="O15" s="8"/>
      <c r="P15" s="8"/>
      <c r="Q15" s="8"/>
      <c r="R15" s="8"/>
      <c r="S15" s="8"/>
      <c r="T15" s="9"/>
    </row>
    <row r="16" spans="1:22" hidden="1" x14ac:dyDescent="0.35">
      <c r="A16" s="12"/>
      <c r="B16" s="213" t="s">
        <v>62</v>
      </c>
      <c r="C16" s="311"/>
      <c r="E16" s="207"/>
      <c r="F16" s="208"/>
      <c r="G16" s="216"/>
      <c r="H16" s="216"/>
      <c r="I16" s="7"/>
      <c r="J16" s="8"/>
      <c r="K16" s="8"/>
      <c r="L16" s="8"/>
      <c r="M16" s="8"/>
      <c r="N16" s="268"/>
      <c r="O16" s="8"/>
      <c r="P16" s="8"/>
      <c r="Q16" s="8"/>
      <c r="R16" s="8"/>
      <c r="S16" s="8"/>
      <c r="T16" s="9"/>
    </row>
    <row r="17" spans="1:20" hidden="1" x14ac:dyDescent="0.35">
      <c r="A17" s="12"/>
      <c r="B17" s="211" t="s">
        <v>197</v>
      </c>
      <c r="C17" s="181"/>
      <c r="E17" s="207"/>
      <c r="F17" s="208"/>
      <c r="G17" s="6"/>
      <c r="H17" s="6"/>
      <c r="I17" s="15"/>
      <c r="J17" s="16"/>
      <c r="K17" s="16"/>
      <c r="L17" s="16"/>
      <c r="M17" s="16"/>
      <c r="N17" s="358"/>
      <c r="O17" s="16"/>
      <c r="P17" s="16"/>
      <c r="Q17" s="16"/>
      <c r="R17" s="16"/>
      <c r="S17" s="16"/>
      <c r="T17" s="17"/>
    </row>
    <row r="18" spans="1:20" hidden="1" x14ac:dyDescent="0.35">
      <c r="A18" s="12"/>
      <c r="B18" s="211" t="s">
        <v>198</v>
      </c>
      <c r="C18" s="181"/>
      <c r="E18" s="207"/>
      <c r="F18" s="208"/>
      <c r="G18" s="19"/>
      <c r="H18" s="19"/>
      <c r="I18" s="15"/>
      <c r="J18" s="16"/>
      <c r="K18" s="16"/>
      <c r="L18" s="16"/>
      <c r="M18" s="16"/>
      <c r="N18" s="358"/>
      <c r="O18" s="16"/>
      <c r="P18" s="16"/>
      <c r="Q18" s="16"/>
      <c r="R18" s="16"/>
      <c r="S18" s="16"/>
      <c r="T18" s="17"/>
    </row>
    <row r="19" spans="1:20" hidden="1" x14ac:dyDescent="0.35">
      <c r="A19" s="12"/>
      <c r="B19" s="211" t="s">
        <v>199</v>
      </c>
      <c r="C19" s="181"/>
      <c r="E19" s="207"/>
      <c r="F19" s="208"/>
      <c r="G19" s="19"/>
      <c r="H19" s="19"/>
      <c r="I19" s="15"/>
      <c r="J19" s="16"/>
      <c r="K19" s="16"/>
      <c r="L19" s="16"/>
      <c r="M19" s="16"/>
      <c r="N19" s="358"/>
      <c r="O19" s="16"/>
      <c r="P19" s="16"/>
      <c r="Q19" s="16"/>
      <c r="R19" s="16"/>
      <c r="S19" s="16"/>
      <c r="T19" s="17"/>
    </row>
    <row r="20" spans="1:20" ht="37.5" hidden="1" customHeight="1" x14ac:dyDescent="0.35">
      <c r="A20" s="12"/>
      <c r="B20" s="211" t="s">
        <v>200</v>
      </c>
      <c r="C20" s="181"/>
      <c r="E20" s="207"/>
      <c r="F20" s="208"/>
      <c r="G20" s="19"/>
      <c r="H20" s="19"/>
      <c r="I20" s="15"/>
      <c r="J20" s="16"/>
      <c r="K20" s="16"/>
      <c r="L20" s="16"/>
      <c r="M20" s="16"/>
      <c r="N20" s="358"/>
      <c r="O20" s="16"/>
      <c r="P20" s="16"/>
      <c r="Q20" s="16"/>
      <c r="R20" s="16"/>
      <c r="S20" s="16"/>
      <c r="T20" s="17"/>
    </row>
    <row r="21" spans="1:20" ht="40.5" hidden="1" customHeight="1" x14ac:dyDescent="0.35">
      <c r="A21" s="12"/>
      <c r="B21" s="211" t="s">
        <v>201</v>
      </c>
      <c r="C21" s="181"/>
      <c r="E21" s="207"/>
      <c r="F21" s="208"/>
      <c r="G21" s="19"/>
      <c r="H21" s="19"/>
      <c r="I21" s="15"/>
      <c r="J21" s="16"/>
      <c r="K21" s="16"/>
      <c r="L21" s="16"/>
      <c r="M21" s="16"/>
      <c r="N21" s="358"/>
      <c r="O21" s="16"/>
      <c r="P21" s="16"/>
      <c r="Q21" s="16"/>
      <c r="R21" s="16"/>
      <c r="S21" s="16"/>
      <c r="T21" s="17"/>
    </row>
    <row r="22" spans="1:20" ht="36.75" hidden="1" customHeight="1" x14ac:dyDescent="0.35">
      <c r="A22" s="12"/>
      <c r="B22" s="212" t="s">
        <v>202</v>
      </c>
      <c r="C22" s="312"/>
      <c r="D22" s="285"/>
      <c r="E22" s="207"/>
      <c r="F22" s="208"/>
      <c r="G22" s="11"/>
      <c r="H22" s="11"/>
      <c r="I22" s="20"/>
      <c r="J22" s="21"/>
      <c r="K22" s="21"/>
      <c r="L22" s="21"/>
      <c r="M22" s="21"/>
      <c r="N22" s="41"/>
      <c r="O22" s="21"/>
      <c r="P22" s="21"/>
      <c r="Q22" s="21"/>
      <c r="R22" s="21"/>
      <c r="S22" s="21"/>
      <c r="T22" s="22"/>
    </row>
    <row r="23" spans="1:20" s="126" customFormat="1" ht="16" customHeight="1" x14ac:dyDescent="0.35">
      <c r="A23" s="125"/>
      <c r="B23" s="508" t="s">
        <v>128</v>
      </c>
      <c r="C23" s="509"/>
      <c r="D23" s="509"/>
      <c r="E23" s="509"/>
      <c r="F23" s="509"/>
      <c r="G23" s="509"/>
      <c r="H23" s="509"/>
      <c r="I23" s="509"/>
      <c r="J23" s="509"/>
      <c r="K23" s="509"/>
      <c r="L23" s="509"/>
      <c r="M23" s="509"/>
      <c r="N23" s="509"/>
      <c r="O23" s="509"/>
      <c r="P23" s="509"/>
      <c r="Q23" s="509"/>
      <c r="R23" s="509"/>
      <c r="S23" s="509"/>
      <c r="T23" s="511"/>
    </row>
    <row r="24" spans="1:20" ht="15" customHeight="1" x14ac:dyDescent="0.35">
      <c r="A24" s="12"/>
      <c r="B24" s="5" t="s">
        <v>113</v>
      </c>
      <c r="C24" s="181" t="s">
        <v>212</v>
      </c>
      <c r="E24" s="149">
        <v>0</v>
      </c>
      <c r="F24" s="150">
        <v>3435</v>
      </c>
      <c r="G24" s="532">
        <f t="shared" ref="G24:H26" si="1">SUM(I24:T24)</f>
        <v>2327</v>
      </c>
      <c r="H24" s="532">
        <f t="shared" si="1"/>
        <v>2099</v>
      </c>
      <c r="I24" s="8">
        <v>228</v>
      </c>
      <c r="J24" s="8">
        <v>212</v>
      </c>
      <c r="K24" s="8">
        <v>200</v>
      </c>
      <c r="L24" s="138">
        <v>198</v>
      </c>
      <c r="M24" s="8">
        <v>192</v>
      </c>
      <c r="N24" s="8">
        <v>188</v>
      </c>
      <c r="O24" s="8">
        <v>185</v>
      </c>
      <c r="P24" s="8">
        <v>183</v>
      </c>
      <c r="Q24" s="8">
        <v>191</v>
      </c>
      <c r="R24" s="8">
        <v>187</v>
      </c>
      <c r="S24" s="8">
        <v>182</v>
      </c>
      <c r="T24" s="23">
        <v>181</v>
      </c>
    </row>
    <row r="25" spans="1:20" ht="15" customHeight="1" x14ac:dyDescent="0.35">
      <c r="A25" s="12"/>
      <c r="B25" s="193" t="s">
        <v>15</v>
      </c>
      <c r="C25" s="181" t="s">
        <v>212</v>
      </c>
      <c r="E25" s="151">
        <v>0</v>
      </c>
      <c r="F25" s="152">
        <v>1807</v>
      </c>
      <c r="G25" s="533">
        <f t="shared" si="1"/>
        <v>1282</v>
      </c>
      <c r="H25" s="533">
        <f t="shared" si="1"/>
        <v>1159</v>
      </c>
      <c r="I25" s="138">
        <v>123</v>
      </c>
      <c r="J25" s="8">
        <v>116</v>
      </c>
      <c r="K25" s="8">
        <v>112</v>
      </c>
      <c r="L25" s="138">
        <v>112</v>
      </c>
      <c r="M25" s="8">
        <v>108</v>
      </c>
      <c r="N25" s="8">
        <v>104</v>
      </c>
      <c r="O25" s="8">
        <v>101</v>
      </c>
      <c r="P25" s="8">
        <v>101</v>
      </c>
      <c r="Q25" s="8">
        <v>105</v>
      </c>
      <c r="R25" s="8">
        <v>102</v>
      </c>
      <c r="S25" s="8">
        <v>99</v>
      </c>
      <c r="T25" s="23">
        <v>99</v>
      </c>
    </row>
    <row r="26" spans="1:20" ht="15" customHeight="1" x14ac:dyDescent="0.35">
      <c r="A26" s="12"/>
      <c r="B26" s="193" t="s">
        <v>16</v>
      </c>
      <c r="C26" s="181" t="s">
        <v>212</v>
      </c>
      <c r="E26" s="151">
        <v>0</v>
      </c>
      <c r="F26" s="152">
        <v>1664</v>
      </c>
      <c r="G26" s="533">
        <f t="shared" si="1"/>
        <v>1045</v>
      </c>
      <c r="H26" s="533">
        <f t="shared" si="1"/>
        <v>940</v>
      </c>
      <c r="I26" s="8">
        <v>105</v>
      </c>
      <c r="J26" s="8">
        <v>96</v>
      </c>
      <c r="K26" s="8">
        <v>88</v>
      </c>
      <c r="L26" s="138">
        <v>86</v>
      </c>
      <c r="M26" s="8">
        <v>84</v>
      </c>
      <c r="N26" s="8">
        <v>84</v>
      </c>
      <c r="O26" s="8">
        <v>84</v>
      </c>
      <c r="P26" s="8">
        <v>82</v>
      </c>
      <c r="Q26" s="8">
        <v>86</v>
      </c>
      <c r="R26" s="8">
        <v>85</v>
      </c>
      <c r="S26" s="8">
        <v>83</v>
      </c>
      <c r="T26" s="23">
        <v>82</v>
      </c>
    </row>
    <row r="27" spans="1:20" ht="15" customHeight="1" x14ac:dyDescent="0.35">
      <c r="A27" s="12"/>
      <c r="B27" s="193" t="s">
        <v>215</v>
      </c>
      <c r="C27" s="181"/>
      <c r="E27" s="151"/>
      <c r="F27" s="152"/>
      <c r="G27" s="155"/>
      <c r="H27" s="155"/>
      <c r="I27" s="8">
        <v>173</v>
      </c>
      <c r="J27" s="8">
        <v>164</v>
      </c>
      <c r="K27" s="8">
        <v>153</v>
      </c>
      <c r="L27" s="138">
        <v>152</v>
      </c>
      <c r="M27" s="8">
        <v>147</v>
      </c>
      <c r="N27" s="8">
        <v>147</v>
      </c>
      <c r="O27" s="8">
        <v>146</v>
      </c>
      <c r="P27" s="8">
        <v>144</v>
      </c>
      <c r="Q27" s="8">
        <v>155</v>
      </c>
      <c r="R27" s="8">
        <v>149</v>
      </c>
      <c r="S27" s="8">
        <v>147</v>
      </c>
      <c r="T27" s="23">
        <v>147</v>
      </c>
    </row>
    <row r="28" spans="1:20" ht="15" customHeight="1" x14ac:dyDescent="0.35">
      <c r="A28" s="12"/>
      <c r="B28" s="193" t="s">
        <v>216</v>
      </c>
      <c r="C28" s="181"/>
      <c r="E28" s="151"/>
      <c r="F28" s="152"/>
      <c r="G28" s="155"/>
      <c r="H28" s="155"/>
      <c r="I28" s="8">
        <v>35</v>
      </c>
      <c r="J28" s="8">
        <v>10</v>
      </c>
      <c r="K28" s="8">
        <v>32</v>
      </c>
      <c r="L28" s="138">
        <v>31</v>
      </c>
      <c r="M28" s="8">
        <v>30</v>
      </c>
      <c r="N28" s="8">
        <v>29</v>
      </c>
      <c r="O28" s="138">
        <v>29</v>
      </c>
      <c r="P28" s="8">
        <v>29</v>
      </c>
      <c r="Q28" s="8">
        <v>26</v>
      </c>
      <c r="R28" s="8">
        <v>26</v>
      </c>
      <c r="S28" s="138">
        <v>25</v>
      </c>
      <c r="T28" s="23">
        <v>23</v>
      </c>
    </row>
    <row r="29" spans="1:20" ht="15" customHeight="1" x14ac:dyDescent="0.35">
      <c r="A29" s="12"/>
      <c r="B29" s="193" t="s">
        <v>218</v>
      </c>
      <c r="C29" s="181"/>
      <c r="E29" s="151"/>
      <c r="F29" s="152"/>
      <c r="G29" s="155"/>
      <c r="H29" s="155"/>
      <c r="I29" s="8">
        <v>14</v>
      </c>
      <c r="J29" s="8">
        <v>5</v>
      </c>
      <c r="K29" s="8">
        <v>10</v>
      </c>
      <c r="L29" s="138">
        <v>10</v>
      </c>
      <c r="M29" s="8">
        <v>10</v>
      </c>
      <c r="N29" s="8">
        <v>7</v>
      </c>
      <c r="O29" s="8">
        <v>6</v>
      </c>
      <c r="P29" s="8">
        <v>6</v>
      </c>
      <c r="Q29" s="8">
        <v>6</v>
      </c>
      <c r="R29" s="8">
        <v>8</v>
      </c>
      <c r="S29" s="8">
        <v>6</v>
      </c>
      <c r="T29" s="23">
        <v>7</v>
      </c>
    </row>
    <row r="30" spans="1:20" ht="15" customHeight="1" x14ac:dyDescent="0.35">
      <c r="A30" s="12"/>
      <c r="B30" s="193" t="s">
        <v>217</v>
      </c>
      <c r="C30" s="181"/>
      <c r="E30" s="151"/>
      <c r="F30" s="152"/>
      <c r="G30" s="155"/>
      <c r="H30" s="155"/>
      <c r="I30" s="8">
        <v>6</v>
      </c>
      <c r="J30" s="8">
        <v>33</v>
      </c>
      <c r="K30" s="8">
        <v>5</v>
      </c>
      <c r="L30" s="138">
        <v>5</v>
      </c>
      <c r="M30" s="8">
        <v>5</v>
      </c>
      <c r="N30" s="8">
        <v>5</v>
      </c>
      <c r="O30" s="8">
        <v>4</v>
      </c>
      <c r="P30" s="8">
        <v>4</v>
      </c>
      <c r="Q30" s="8">
        <v>4</v>
      </c>
      <c r="R30" s="8">
        <v>4</v>
      </c>
      <c r="S30" s="8">
        <v>4</v>
      </c>
      <c r="T30" s="23">
        <v>4</v>
      </c>
    </row>
    <row r="31" spans="1:20" ht="15" customHeight="1" x14ac:dyDescent="0.35">
      <c r="A31" s="12"/>
      <c r="B31" s="193" t="s">
        <v>114</v>
      </c>
      <c r="C31" s="181" t="s">
        <v>212</v>
      </c>
      <c r="E31" s="151">
        <v>0</v>
      </c>
      <c r="F31" s="152">
        <v>1429</v>
      </c>
      <c r="G31" s="533">
        <f t="shared" ref="G31:H42" si="2">SUM(I31:T31)</f>
        <v>498</v>
      </c>
      <c r="H31" s="533">
        <f t="shared" si="2"/>
        <v>444</v>
      </c>
      <c r="I31" s="8">
        <v>54</v>
      </c>
      <c r="J31" s="8">
        <v>50</v>
      </c>
      <c r="K31" s="8">
        <v>37</v>
      </c>
      <c r="L31" s="138">
        <v>42</v>
      </c>
      <c r="M31" s="8">
        <v>36</v>
      </c>
      <c r="N31" s="8">
        <v>39</v>
      </c>
      <c r="O31" s="8">
        <v>37</v>
      </c>
      <c r="P31" s="8">
        <v>34</v>
      </c>
      <c r="Q31" s="8">
        <v>46</v>
      </c>
      <c r="R31" s="8">
        <v>43</v>
      </c>
      <c r="S31" s="8">
        <v>40</v>
      </c>
      <c r="T31" s="23">
        <v>40</v>
      </c>
    </row>
    <row r="32" spans="1:20" ht="15" customHeight="1" x14ac:dyDescent="0.35">
      <c r="A32" s="12"/>
      <c r="B32" s="193" t="s">
        <v>115</v>
      </c>
      <c r="C32" s="181" t="s">
        <v>212</v>
      </c>
      <c r="E32" s="151">
        <v>0</v>
      </c>
      <c r="F32" s="152">
        <v>949</v>
      </c>
      <c r="G32" s="533">
        <f t="shared" si="2"/>
        <v>460</v>
      </c>
      <c r="H32" s="533">
        <f t="shared" si="2"/>
        <v>425</v>
      </c>
      <c r="I32" s="8">
        <v>35</v>
      </c>
      <c r="J32" s="8">
        <v>32</v>
      </c>
      <c r="K32" s="8">
        <v>40</v>
      </c>
      <c r="L32" s="138">
        <v>39</v>
      </c>
      <c r="M32" s="8">
        <v>43</v>
      </c>
      <c r="N32" s="8">
        <v>38</v>
      </c>
      <c r="O32" s="8">
        <v>36</v>
      </c>
      <c r="P32" s="8">
        <v>40</v>
      </c>
      <c r="Q32" s="8">
        <v>38</v>
      </c>
      <c r="R32" s="8">
        <v>37</v>
      </c>
      <c r="S32" s="8">
        <v>39</v>
      </c>
      <c r="T32" s="23">
        <v>43</v>
      </c>
    </row>
    <row r="33" spans="1:20" ht="15" customHeight="1" x14ac:dyDescent="0.35">
      <c r="A33" s="12"/>
      <c r="B33" s="193" t="s">
        <v>116</v>
      </c>
      <c r="C33" s="181" t="s">
        <v>212</v>
      </c>
      <c r="E33" s="151">
        <v>0</v>
      </c>
      <c r="F33" s="152">
        <v>1093</v>
      </c>
      <c r="G33" s="533">
        <f t="shared" si="2"/>
        <v>1369</v>
      </c>
      <c r="H33" s="533">
        <f t="shared" si="2"/>
        <v>1230</v>
      </c>
      <c r="I33" s="8">
        <v>139</v>
      </c>
      <c r="J33" s="8">
        <v>130</v>
      </c>
      <c r="K33" s="8">
        <v>123</v>
      </c>
      <c r="L33" s="138">
        <v>117</v>
      </c>
      <c r="M33" s="8">
        <v>113</v>
      </c>
      <c r="N33" s="8">
        <v>111</v>
      </c>
      <c r="O33" s="8">
        <v>112</v>
      </c>
      <c r="P33" s="8">
        <v>109</v>
      </c>
      <c r="Q33" s="8">
        <v>107</v>
      </c>
      <c r="R33" s="8">
        <v>107</v>
      </c>
      <c r="S33" s="8">
        <v>103</v>
      </c>
      <c r="T33" s="23">
        <v>98</v>
      </c>
    </row>
    <row r="34" spans="1:20" ht="27" customHeight="1" x14ac:dyDescent="0.35">
      <c r="A34" s="12"/>
      <c r="B34" s="24" t="s">
        <v>122</v>
      </c>
      <c r="C34" s="181" t="s">
        <v>212</v>
      </c>
      <c r="D34" s="285"/>
      <c r="E34" s="151">
        <v>0</v>
      </c>
      <c r="F34" s="152">
        <v>211</v>
      </c>
      <c r="G34" s="533">
        <f t="shared" si="2"/>
        <v>390</v>
      </c>
      <c r="H34" s="533">
        <f t="shared" si="2"/>
        <v>357</v>
      </c>
      <c r="I34" s="8">
        <v>33</v>
      </c>
      <c r="J34" s="8">
        <v>30</v>
      </c>
      <c r="K34" s="8">
        <v>30</v>
      </c>
      <c r="L34" s="138">
        <v>32</v>
      </c>
      <c r="M34" s="8">
        <v>33</v>
      </c>
      <c r="N34" s="8">
        <v>34</v>
      </c>
      <c r="O34" s="8">
        <v>35</v>
      </c>
      <c r="P34" s="8">
        <v>33</v>
      </c>
      <c r="Q34" s="8">
        <v>33</v>
      </c>
      <c r="R34" s="8">
        <v>32</v>
      </c>
      <c r="S34" s="8">
        <v>32</v>
      </c>
      <c r="T34" s="23">
        <v>33</v>
      </c>
    </row>
    <row r="35" spans="1:20" ht="15" customHeight="1" x14ac:dyDescent="0.35">
      <c r="A35" s="12"/>
      <c r="B35" s="18" t="s">
        <v>123</v>
      </c>
      <c r="C35" s="181" t="s">
        <v>212</v>
      </c>
      <c r="E35" s="151">
        <v>0</v>
      </c>
      <c r="F35" s="152">
        <v>212</v>
      </c>
      <c r="G35" s="533">
        <f t="shared" si="2"/>
        <v>38</v>
      </c>
      <c r="H35" s="533">
        <f t="shared" si="2"/>
        <v>34</v>
      </c>
      <c r="I35" s="46">
        <v>4</v>
      </c>
      <c r="J35" s="8">
        <v>5</v>
      </c>
      <c r="K35" s="8">
        <v>0</v>
      </c>
      <c r="L35" s="138">
        <v>5</v>
      </c>
      <c r="M35" s="8">
        <v>0</v>
      </c>
      <c r="N35" s="8">
        <v>3</v>
      </c>
      <c r="O35" s="8">
        <v>1</v>
      </c>
      <c r="P35" s="8">
        <v>1</v>
      </c>
      <c r="Q35" s="8">
        <v>12</v>
      </c>
      <c r="R35" s="8">
        <v>2</v>
      </c>
      <c r="S35" s="138">
        <v>1</v>
      </c>
      <c r="T35" s="23">
        <v>4</v>
      </c>
    </row>
    <row r="36" spans="1:20" ht="15" customHeight="1" x14ac:dyDescent="0.35">
      <c r="A36" s="12"/>
      <c r="B36" s="18" t="s">
        <v>124</v>
      </c>
      <c r="C36" s="181" t="s">
        <v>212</v>
      </c>
      <c r="E36" s="151">
        <v>0</v>
      </c>
      <c r="F36" s="152">
        <v>213</v>
      </c>
      <c r="G36" s="533">
        <f t="shared" si="2"/>
        <v>84</v>
      </c>
      <c r="H36" s="533">
        <f t="shared" si="2"/>
        <v>77</v>
      </c>
      <c r="I36" s="46">
        <v>7</v>
      </c>
      <c r="J36" s="8">
        <v>18</v>
      </c>
      <c r="K36" s="8">
        <v>12</v>
      </c>
      <c r="L36" s="138">
        <v>7</v>
      </c>
      <c r="M36" s="8">
        <v>6</v>
      </c>
      <c r="N36" s="8">
        <v>6</v>
      </c>
      <c r="O36" s="8">
        <v>4</v>
      </c>
      <c r="P36" s="8">
        <v>3</v>
      </c>
      <c r="Q36" s="8">
        <v>4</v>
      </c>
      <c r="R36" s="8">
        <v>6</v>
      </c>
      <c r="S36" s="8">
        <v>6</v>
      </c>
      <c r="T36" s="23">
        <v>5</v>
      </c>
    </row>
    <row r="37" spans="1:20" ht="15" customHeight="1" x14ac:dyDescent="0.35">
      <c r="A37" s="12"/>
      <c r="B37" s="193" t="s">
        <v>35</v>
      </c>
      <c r="C37" s="181" t="s">
        <v>212</v>
      </c>
      <c r="E37" s="151">
        <v>0</v>
      </c>
      <c r="F37" s="152">
        <v>214</v>
      </c>
      <c r="G37" s="533">
        <f t="shared" si="2"/>
        <v>20</v>
      </c>
      <c r="H37" s="533">
        <f t="shared" si="2"/>
        <v>19</v>
      </c>
      <c r="I37" s="274">
        <v>1</v>
      </c>
      <c r="J37" s="27">
        <v>2</v>
      </c>
      <c r="K37" s="27">
        <v>3</v>
      </c>
      <c r="L37" s="138">
        <v>1</v>
      </c>
      <c r="M37" s="27">
        <v>2</v>
      </c>
      <c r="N37" s="27">
        <v>3</v>
      </c>
      <c r="O37" s="27">
        <v>0</v>
      </c>
      <c r="P37" s="27">
        <v>0</v>
      </c>
      <c r="Q37" s="27">
        <v>3</v>
      </c>
      <c r="R37" s="27">
        <v>0</v>
      </c>
      <c r="S37" s="8">
        <v>2</v>
      </c>
      <c r="T37" s="28">
        <v>3</v>
      </c>
    </row>
    <row r="38" spans="1:20" ht="15" customHeight="1" x14ac:dyDescent="0.35">
      <c r="A38" s="12"/>
      <c r="B38" s="193" t="s">
        <v>40</v>
      </c>
      <c r="C38" s="181" t="s">
        <v>212</v>
      </c>
      <c r="E38" s="151">
        <v>0</v>
      </c>
      <c r="F38" s="152">
        <v>215</v>
      </c>
      <c r="G38" s="533">
        <f t="shared" si="2"/>
        <v>5</v>
      </c>
      <c r="H38" s="533">
        <f t="shared" si="2"/>
        <v>5</v>
      </c>
      <c r="I38" s="274">
        <v>0</v>
      </c>
      <c r="J38" s="27">
        <v>0</v>
      </c>
      <c r="K38" s="27">
        <v>0</v>
      </c>
      <c r="L38" s="138">
        <v>0</v>
      </c>
      <c r="M38" s="27">
        <v>1</v>
      </c>
      <c r="N38" s="27">
        <v>0</v>
      </c>
      <c r="O38" s="27">
        <v>1</v>
      </c>
      <c r="P38" s="27">
        <v>0</v>
      </c>
      <c r="Q38" s="27">
        <v>0</v>
      </c>
      <c r="R38" s="27">
        <v>2</v>
      </c>
      <c r="S38" s="138">
        <v>0</v>
      </c>
      <c r="T38" s="28">
        <v>1</v>
      </c>
    </row>
    <row r="39" spans="1:20" ht="15" customHeight="1" x14ac:dyDescent="0.35">
      <c r="A39" s="12"/>
      <c r="B39" s="193" t="s">
        <v>36</v>
      </c>
      <c r="C39" s="181" t="s">
        <v>212</v>
      </c>
      <c r="E39" s="151">
        <v>0</v>
      </c>
      <c r="F39" s="152">
        <v>216</v>
      </c>
      <c r="G39" s="533">
        <f t="shared" si="2"/>
        <v>13</v>
      </c>
      <c r="H39" s="533">
        <f t="shared" si="2"/>
        <v>12</v>
      </c>
      <c r="I39" s="274">
        <v>1</v>
      </c>
      <c r="J39" s="27">
        <v>1</v>
      </c>
      <c r="K39" s="27">
        <v>5</v>
      </c>
      <c r="L39" s="138">
        <v>1</v>
      </c>
      <c r="M39" s="27">
        <v>0</v>
      </c>
      <c r="N39" s="27">
        <v>0</v>
      </c>
      <c r="O39" s="27">
        <v>0</v>
      </c>
      <c r="P39" s="27">
        <v>2</v>
      </c>
      <c r="Q39" s="27">
        <v>0</v>
      </c>
      <c r="R39" s="27">
        <v>0</v>
      </c>
      <c r="S39" s="8">
        <v>3</v>
      </c>
      <c r="T39" s="28">
        <v>0</v>
      </c>
    </row>
    <row r="40" spans="1:20" ht="15" customHeight="1" x14ac:dyDescent="0.35">
      <c r="A40" s="12"/>
      <c r="B40" s="193" t="s">
        <v>37</v>
      </c>
      <c r="C40" s="181" t="s">
        <v>212</v>
      </c>
      <c r="E40" s="151">
        <v>0</v>
      </c>
      <c r="F40" s="152">
        <v>217</v>
      </c>
      <c r="G40" s="533">
        <f t="shared" si="2"/>
        <v>33</v>
      </c>
      <c r="H40" s="533">
        <f t="shared" si="2"/>
        <v>30</v>
      </c>
      <c r="I40" s="274">
        <v>3</v>
      </c>
      <c r="J40" s="27">
        <v>14</v>
      </c>
      <c r="K40" s="27">
        <v>2</v>
      </c>
      <c r="L40" s="138">
        <v>5</v>
      </c>
      <c r="M40" s="27">
        <v>2</v>
      </c>
      <c r="N40" s="27">
        <v>2</v>
      </c>
      <c r="O40" s="27">
        <v>0</v>
      </c>
      <c r="P40" s="27">
        <v>0</v>
      </c>
      <c r="Q40" s="27">
        <v>0</v>
      </c>
      <c r="R40" s="27">
        <v>4</v>
      </c>
      <c r="S40" s="8">
        <v>1</v>
      </c>
      <c r="T40" s="28">
        <v>0</v>
      </c>
    </row>
    <row r="41" spans="1:20" ht="15" customHeight="1" x14ac:dyDescent="0.35">
      <c r="A41" s="12"/>
      <c r="B41" s="193" t="s">
        <v>125</v>
      </c>
      <c r="C41" s="181" t="s">
        <v>212</v>
      </c>
      <c r="E41" s="151">
        <v>0</v>
      </c>
      <c r="F41" s="152">
        <v>218</v>
      </c>
      <c r="G41" s="533">
        <f t="shared" si="2"/>
        <v>12</v>
      </c>
      <c r="H41" s="533">
        <f t="shared" si="2"/>
        <v>10</v>
      </c>
      <c r="I41" s="274">
        <v>2</v>
      </c>
      <c r="J41" s="27">
        <v>1</v>
      </c>
      <c r="K41" s="27">
        <v>2</v>
      </c>
      <c r="L41" s="138">
        <v>0</v>
      </c>
      <c r="M41" s="27">
        <v>1</v>
      </c>
      <c r="N41" s="27">
        <v>1</v>
      </c>
      <c r="O41" s="27">
        <v>2</v>
      </c>
      <c r="P41" s="27">
        <v>1</v>
      </c>
      <c r="Q41" s="27">
        <v>1</v>
      </c>
      <c r="R41" s="27">
        <v>0</v>
      </c>
      <c r="S41" s="8">
        <v>0</v>
      </c>
      <c r="T41" s="28">
        <v>1</v>
      </c>
    </row>
    <row r="42" spans="1:20" ht="15" customHeight="1" x14ac:dyDescent="0.35">
      <c r="A42" s="12"/>
      <c r="B42" s="192" t="s">
        <v>117</v>
      </c>
      <c r="C42" s="181" t="s">
        <v>212</v>
      </c>
      <c r="D42" s="286"/>
      <c r="E42" s="418">
        <v>0</v>
      </c>
      <c r="F42" s="419">
        <v>219</v>
      </c>
      <c r="G42" s="535">
        <f t="shared" si="2"/>
        <v>1</v>
      </c>
      <c r="H42" s="535">
        <f t="shared" si="2"/>
        <v>1</v>
      </c>
      <c r="I42" s="275">
        <v>0</v>
      </c>
      <c r="J42" s="129">
        <v>0</v>
      </c>
      <c r="K42" s="129">
        <v>0</v>
      </c>
      <c r="L42" s="138">
        <v>0</v>
      </c>
      <c r="M42" s="129">
        <v>0</v>
      </c>
      <c r="N42" s="129">
        <v>0</v>
      </c>
      <c r="O42" s="129">
        <v>1</v>
      </c>
      <c r="P42" s="129">
        <v>0</v>
      </c>
      <c r="Q42" s="129">
        <v>0</v>
      </c>
      <c r="R42" s="129">
        <v>0</v>
      </c>
      <c r="S42" s="8">
        <v>0</v>
      </c>
      <c r="T42" s="45">
        <v>0</v>
      </c>
    </row>
    <row r="43" spans="1:20" s="126" customFormat="1" ht="16" customHeight="1" x14ac:dyDescent="0.35">
      <c r="A43" s="125"/>
      <c r="B43" s="496" t="s">
        <v>246</v>
      </c>
      <c r="C43" s="441"/>
      <c r="D43" s="441"/>
      <c r="E43" s="441"/>
      <c r="F43" s="441"/>
      <c r="G43" s="441"/>
      <c r="H43" s="441"/>
      <c r="I43" s="441"/>
      <c r="J43" s="441"/>
      <c r="K43" s="441"/>
      <c r="L43" s="441"/>
      <c r="M43" s="441"/>
      <c r="N43" s="441"/>
      <c r="O43" s="441"/>
      <c r="P43" s="441"/>
      <c r="Q43" s="441"/>
      <c r="R43" s="441"/>
      <c r="S43" s="441"/>
      <c r="T43" s="497"/>
    </row>
    <row r="44" spans="1:20" ht="15" customHeight="1" x14ac:dyDescent="0.35">
      <c r="A44" s="12"/>
      <c r="B44" s="421" t="s">
        <v>247</v>
      </c>
      <c r="C44" s="306"/>
      <c r="D44" s="280"/>
      <c r="E44" s="25">
        <v>5</v>
      </c>
      <c r="F44" s="25">
        <v>5</v>
      </c>
      <c r="H44" s="429">
        <f>AVERAGE(J44:U44)</f>
        <v>0.9793909090909092</v>
      </c>
      <c r="I44" s="428">
        <v>0.92300000000000004</v>
      </c>
      <c r="J44" s="428">
        <v>0.96630000000000005</v>
      </c>
      <c r="K44" s="428">
        <v>0.98499999999999999</v>
      </c>
      <c r="L44" s="428">
        <v>0.97899999999999998</v>
      </c>
      <c r="M44" s="428">
        <v>0.97899999999999998</v>
      </c>
      <c r="N44" s="428">
        <v>0.95199999999999996</v>
      </c>
      <c r="O44" s="428">
        <v>0.98909999999999998</v>
      </c>
      <c r="P44" s="432">
        <v>0.97250000000000003</v>
      </c>
      <c r="Q44" s="300">
        <v>0.98319999999999996</v>
      </c>
      <c r="R44" s="300">
        <v>0.98380000000000001</v>
      </c>
      <c r="S44" s="300">
        <v>0.98899999999999999</v>
      </c>
      <c r="T44" s="424">
        <v>0.99439999999999995</v>
      </c>
    </row>
    <row r="45" spans="1:20" ht="15" customHeight="1" x14ac:dyDescent="0.4">
      <c r="A45" s="12"/>
      <c r="B45" s="422" t="s">
        <v>248</v>
      </c>
      <c r="C45" s="181"/>
      <c r="E45" s="395"/>
      <c r="F45" s="395"/>
      <c r="H45" s="429">
        <f>AVERAGE(J45:U45)</f>
        <v>0.94248181818181831</v>
      </c>
      <c r="I45" s="425">
        <v>0.91700000000000004</v>
      </c>
      <c r="J45" s="426">
        <v>0.96199999999999997</v>
      </c>
      <c r="K45" s="426">
        <v>0.97</v>
      </c>
      <c r="L45" s="423">
        <v>0.88500000000000001</v>
      </c>
      <c r="M45" s="423">
        <v>0.90959999999999996</v>
      </c>
      <c r="N45" s="426">
        <v>0.90959999999999996</v>
      </c>
      <c r="O45" s="426">
        <v>0.95050000000000001</v>
      </c>
      <c r="P45" s="433">
        <v>0.93220000000000003</v>
      </c>
      <c r="Q45" s="426">
        <v>0.97160000000000002</v>
      </c>
      <c r="R45" s="426">
        <v>0.96699999999999997</v>
      </c>
      <c r="S45" s="426">
        <v>0.96089999999999998</v>
      </c>
      <c r="T45" s="427">
        <v>0.94889999999999997</v>
      </c>
    </row>
    <row r="46" spans="1:20" s="126" customFormat="1" ht="16" customHeight="1" x14ac:dyDescent="0.35">
      <c r="A46" s="125"/>
      <c r="B46" s="496" t="s">
        <v>127</v>
      </c>
      <c r="C46" s="441"/>
      <c r="D46" s="441"/>
      <c r="E46" s="441"/>
      <c r="F46" s="441"/>
      <c r="G46" s="441"/>
      <c r="H46" s="441"/>
      <c r="I46" s="441"/>
      <c r="J46" s="441"/>
      <c r="K46" s="441"/>
      <c r="L46" s="441"/>
      <c r="M46" s="441"/>
      <c r="N46" s="441"/>
      <c r="O46" s="441"/>
      <c r="P46" s="441"/>
      <c r="Q46" s="441"/>
      <c r="R46" s="441"/>
      <c r="S46" s="441"/>
      <c r="T46" s="497"/>
    </row>
    <row r="47" spans="1:20" ht="15" customHeight="1" x14ac:dyDescent="0.35">
      <c r="A47" s="12"/>
      <c r="B47" s="5" t="s">
        <v>126</v>
      </c>
      <c r="C47" s="306"/>
      <c r="D47" s="280"/>
      <c r="E47" s="25">
        <v>5</v>
      </c>
      <c r="F47" s="25">
        <v>5</v>
      </c>
      <c r="G47" s="124">
        <v>10</v>
      </c>
      <c r="H47" s="395">
        <f t="shared" ref="H47:H49" si="3">SUM(J47:U47)</f>
        <v>18</v>
      </c>
      <c r="I47" s="274">
        <v>2</v>
      </c>
      <c r="J47" s="27">
        <v>8</v>
      </c>
      <c r="K47" s="27">
        <v>0</v>
      </c>
      <c r="L47" s="138">
        <v>3</v>
      </c>
      <c r="M47" s="138">
        <v>1</v>
      </c>
      <c r="N47" s="27">
        <v>2</v>
      </c>
      <c r="O47" s="27">
        <v>0</v>
      </c>
      <c r="P47" s="27">
        <v>0</v>
      </c>
      <c r="Q47" s="27">
        <v>0</v>
      </c>
      <c r="R47" s="27">
        <v>4</v>
      </c>
      <c r="S47" s="27">
        <v>0</v>
      </c>
      <c r="T47" s="28">
        <v>0</v>
      </c>
    </row>
    <row r="48" spans="1:20" ht="15" customHeight="1" x14ac:dyDescent="0.35">
      <c r="A48" s="12"/>
      <c r="B48" s="18" t="s">
        <v>129</v>
      </c>
      <c r="C48" s="308"/>
      <c r="D48" s="282"/>
      <c r="E48" s="13">
        <v>19</v>
      </c>
      <c r="F48" s="13">
        <v>13</v>
      </c>
      <c r="G48" s="124">
        <v>20</v>
      </c>
      <c r="H48" s="395">
        <f t="shared" si="3"/>
        <v>12</v>
      </c>
      <c r="I48" s="274">
        <v>1</v>
      </c>
      <c r="J48" s="27">
        <v>6</v>
      </c>
      <c r="K48" s="27">
        <v>2</v>
      </c>
      <c r="L48" s="138">
        <v>2</v>
      </c>
      <c r="M48" s="27">
        <v>1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1</v>
      </c>
      <c r="T48" s="28">
        <v>0</v>
      </c>
    </row>
    <row r="49" spans="1:20" ht="15" customHeight="1" x14ac:dyDescent="0.35">
      <c r="A49" s="12"/>
      <c r="B49" s="18" t="s">
        <v>231</v>
      </c>
      <c r="C49" s="307"/>
      <c r="D49" s="281"/>
      <c r="E49" s="26">
        <v>14</v>
      </c>
      <c r="F49" s="26">
        <v>25</v>
      </c>
      <c r="G49" s="124">
        <v>25</v>
      </c>
      <c r="H49" s="395">
        <f t="shared" si="3"/>
        <v>9</v>
      </c>
      <c r="I49" s="274">
        <v>0</v>
      </c>
      <c r="J49" s="27">
        <v>1</v>
      </c>
      <c r="K49" s="27">
        <v>0</v>
      </c>
      <c r="L49" s="138">
        <v>0</v>
      </c>
      <c r="M49" s="27">
        <v>0</v>
      </c>
      <c r="N49" s="27">
        <v>1</v>
      </c>
      <c r="O49" s="27">
        <v>1</v>
      </c>
      <c r="P49" s="27">
        <v>0</v>
      </c>
      <c r="Q49" s="27">
        <v>0</v>
      </c>
      <c r="R49" s="27">
        <v>0</v>
      </c>
      <c r="S49" s="27">
        <v>3</v>
      </c>
      <c r="T49" s="28">
        <v>3</v>
      </c>
    </row>
    <row r="50" spans="1:20" ht="15" hidden="1" customHeight="1" x14ac:dyDescent="0.35">
      <c r="A50" s="12"/>
      <c r="B50" s="18" t="s">
        <v>17</v>
      </c>
      <c r="C50" s="181"/>
      <c r="E50" s="515"/>
      <c r="F50" s="516"/>
      <c r="G50" s="525"/>
      <c r="H50" s="525"/>
      <c r="I50" s="15">
        <v>28</v>
      </c>
      <c r="J50" s="16">
        <v>29</v>
      </c>
      <c r="K50" s="16">
        <v>30</v>
      </c>
      <c r="L50" s="2" t="s">
        <v>39</v>
      </c>
      <c r="M50" s="16">
        <v>36</v>
      </c>
      <c r="N50" s="358">
        <v>36</v>
      </c>
      <c r="O50" s="16">
        <v>38</v>
      </c>
      <c r="P50" s="16">
        <v>30</v>
      </c>
      <c r="Q50" s="16">
        <v>30</v>
      </c>
      <c r="R50" s="16"/>
      <c r="S50" s="16"/>
      <c r="T50" s="28"/>
    </row>
    <row r="51" spans="1:20" ht="15" hidden="1" customHeight="1" x14ac:dyDescent="0.35">
      <c r="A51" s="12"/>
      <c r="B51" s="18" t="s">
        <v>18</v>
      </c>
      <c r="C51" s="181"/>
      <c r="E51" s="515"/>
      <c r="F51" s="516"/>
      <c r="G51" s="525"/>
      <c r="H51" s="525"/>
      <c r="I51" s="29">
        <v>23</v>
      </c>
      <c r="J51" s="29">
        <v>29</v>
      </c>
      <c r="K51" s="29">
        <v>21</v>
      </c>
      <c r="L51" s="2" t="s">
        <v>39</v>
      </c>
      <c r="M51" s="2" t="s">
        <v>39</v>
      </c>
      <c r="N51" s="359" t="s">
        <v>39</v>
      </c>
      <c r="O51" s="2" t="s">
        <v>39</v>
      </c>
      <c r="P51" s="2" t="s">
        <v>39</v>
      </c>
      <c r="Q51" s="29"/>
      <c r="R51" s="29"/>
      <c r="S51" s="16"/>
      <c r="T51" s="28"/>
    </row>
    <row r="52" spans="1:20" ht="15" hidden="1" customHeight="1" x14ac:dyDescent="0.35">
      <c r="A52" s="12"/>
      <c r="B52" s="18" t="s">
        <v>22</v>
      </c>
      <c r="C52" s="306"/>
      <c r="D52" s="280"/>
      <c r="E52" s="217">
        <v>52</v>
      </c>
      <c r="F52" s="218">
        <v>70</v>
      </c>
      <c r="G52" s="25">
        <f>SUM(I52:T52)</f>
        <v>12</v>
      </c>
      <c r="H52" s="25">
        <f>SUM(J52:U52)</f>
        <v>6</v>
      </c>
      <c r="I52" s="15">
        <v>6</v>
      </c>
      <c r="J52" s="16">
        <v>6</v>
      </c>
      <c r="K52" s="2" t="s">
        <v>39</v>
      </c>
      <c r="L52" s="2" t="s">
        <v>39</v>
      </c>
      <c r="M52" s="2" t="s">
        <v>39</v>
      </c>
      <c r="N52" s="359" t="s">
        <v>39</v>
      </c>
      <c r="O52" s="2" t="s">
        <v>39</v>
      </c>
      <c r="P52" s="16">
        <v>0</v>
      </c>
      <c r="Q52" s="16">
        <v>0</v>
      </c>
      <c r="R52" s="16"/>
      <c r="S52" s="16"/>
      <c r="T52" s="17"/>
    </row>
    <row r="53" spans="1:20" ht="15" hidden="1" customHeight="1" x14ac:dyDescent="0.35">
      <c r="A53" s="12"/>
      <c r="B53" s="10" t="s">
        <v>21</v>
      </c>
      <c r="C53" s="307"/>
      <c r="D53" s="281"/>
      <c r="E53" s="219">
        <v>269</v>
      </c>
      <c r="F53" s="220">
        <v>300</v>
      </c>
      <c r="G53" s="26">
        <f>SUM(I53:T53)</f>
        <v>250</v>
      </c>
      <c r="H53" s="26">
        <f>SUM(J53:U53)</f>
        <v>217</v>
      </c>
      <c r="I53" s="20">
        <v>33</v>
      </c>
      <c r="J53" s="21">
        <v>22</v>
      </c>
      <c r="K53" s="29">
        <v>17</v>
      </c>
      <c r="L53" s="29">
        <v>23</v>
      </c>
      <c r="M53" s="29">
        <v>23</v>
      </c>
      <c r="N53" s="360">
        <v>32</v>
      </c>
      <c r="O53" s="21">
        <v>30</v>
      </c>
      <c r="P53" s="21">
        <v>34</v>
      </c>
      <c r="Q53" s="21">
        <v>36</v>
      </c>
      <c r="R53" s="21"/>
      <c r="S53" s="21"/>
      <c r="T53" s="22"/>
    </row>
    <row r="54" spans="1:20" s="126" customFormat="1" ht="16" customHeight="1" x14ac:dyDescent="0.35">
      <c r="A54" s="125"/>
      <c r="B54" s="508" t="s">
        <v>203</v>
      </c>
      <c r="C54" s="509"/>
      <c r="D54" s="509"/>
      <c r="E54" s="509"/>
      <c r="F54" s="509"/>
      <c r="G54" s="509"/>
      <c r="H54" s="509"/>
      <c r="I54" s="509"/>
      <c r="J54" s="509"/>
      <c r="K54" s="509"/>
      <c r="L54" s="509"/>
      <c r="M54" s="509"/>
      <c r="N54" s="509"/>
      <c r="O54" s="509"/>
      <c r="P54" s="509"/>
      <c r="Q54" s="509"/>
      <c r="R54" s="509"/>
      <c r="S54" s="509"/>
      <c r="T54" s="511"/>
    </row>
    <row r="55" spans="1:20" ht="15" customHeight="1" x14ac:dyDescent="0.35">
      <c r="A55" s="12"/>
      <c r="B55" s="5" t="s">
        <v>130</v>
      </c>
      <c r="C55" s="181"/>
      <c r="E55" s="156">
        <v>0</v>
      </c>
      <c r="F55" s="157">
        <v>988</v>
      </c>
      <c r="G55" s="532">
        <f t="shared" ref="G55:H58" si="4">SUM(I55:T55)</f>
        <v>805</v>
      </c>
      <c r="H55" s="532">
        <f t="shared" si="4"/>
        <v>735</v>
      </c>
      <c r="I55" s="276">
        <v>70</v>
      </c>
      <c r="J55" s="130">
        <v>65</v>
      </c>
      <c r="K55" s="130">
        <v>72</v>
      </c>
      <c r="L55" s="276">
        <v>69</v>
      </c>
      <c r="M55" s="276">
        <v>65</v>
      </c>
      <c r="N55" s="130">
        <v>65</v>
      </c>
      <c r="O55" s="130">
        <v>66</v>
      </c>
      <c r="P55" s="130">
        <v>66</v>
      </c>
      <c r="Q55" s="130">
        <v>62</v>
      </c>
      <c r="R55" s="130">
        <v>67</v>
      </c>
      <c r="S55" s="130">
        <v>65</v>
      </c>
      <c r="T55" s="131">
        <v>73</v>
      </c>
    </row>
    <row r="56" spans="1:20" ht="15" customHeight="1" x14ac:dyDescent="0.35">
      <c r="A56" s="12"/>
      <c r="B56" s="193" t="s">
        <v>131</v>
      </c>
      <c r="C56" s="311"/>
      <c r="E56" s="156">
        <v>0</v>
      </c>
      <c r="F56" s="157">
        <v>27</v>
      </c>
      <c r="G56" s="533">
        <f t="shared" si="4"/>
        <v>12</v>
      </c>
      <c r="H56" s="533">
        <f t="shared" si="4"/>
        <v>12</v>
      </c>
      <c r="I56" s="241">
        <v>0</v>
      </c>
      <c r="J56" s="21">
        <v>3</v>
      </c>
      <c r="K56" s="21">
        <v>3</v>
      </c>
      <c r="L56" s="241">
        <v>1</v>
      </c>
      <c r="M56" s="21">
        <v>0</v>
      </c>
      <c r="N56" s="21">
        <v>2</v>
      </c>
      <c r="O56" s="21">
        <v>1</v>
      </c>
      <c r="P56" s="21">
        <v>0</v>
      </c>
      <c r="Q56" s="21">
        <v>0</v>
      </c>
      <c r="R56" s="21">
        <v>0</v>
      </c>
      <c r="S56" s="138">
        <v>2</v>
      </c>
      <c r="T56" s="130">
        <v>0</v>
      </c>
    </row>
    <row r="57" spans="1:20" ht="15" customHeight="1" x14ac:dyDescent="0.35">
      <c r="A57" s="12"/>
      <c r="B57" s="193" t="s">
        <v>132</v>
      </c>
      <c r="C57" s="311"/>
      <c r="E57" s="156">
        <v>0</v>
      </c>
      <c r="F57" s="157">
        <v>21</v>
      </c>
      <c r="G57" s="533">
        <f t="shared" si="4"/>
        <v>19</v>
      </c>
      <c r="H57" s="533">
        <f t="shared" si="4"/>
        <v>16</v>
      </c>
      <c r="I57" s="241">
        <v>3</v>
      </c>
      <c r="J57" s="21">
        <v>0</v>
      </c>
      <c r="K57" s="21">
        <v>1</v>
      </c>
      <c r="L57" s="241">
        <v>3</v>
      </c>
      <c r="M57" s="21">
        <v>3</v>
      </c>
      <c r="N57" s="21">
        <v>1</v>
      </c>
      <c r="O57" s="21">
        <v>1</v>
      </c>
      <c r="P57" s="21">
        <v>0</v>
      </c>
      <c r="Q57" s="21">
        <v>2</v>
      </c>
      <c r="R57" s="21">
        <v>1</v>
      </c>
      <c r="S57" s="130">
        <v>2</v>
      </c>
      <c r="T57" s="130">
        <v>2</v>
      </c>
    </row>
    <row r="58" spans="1:20" ht="15" customHeight="1" x14ac:dyDescent="0.35">
      <c r="A58" s="12"/>
      <c r="B58" s="30" t="s">
        <v>133</v>
      </c>
      <c r="E58" s="156">
        <v>0</v>
      </c>
      <c r="F58" s="157">
        <v>195</v>
      </c>
      <c r="G58" s="533">
        <f t="shared" si="4"/>
        <v>250</v>
      </c>
      <c r="H58" s="533">
        <f t="shared" si="4"/>
        <v>240</v>
      </c>
      <c r="I58" s="241">
        <v>10</v>
      </c>
      <c r="J58" s="21">
        <v>20</v>
      </c>
      <c r="K58" s="21">
        <v>15</v>
      </c>
      <c r="L58" s="241">
        <v>23</v>
      </c>
      <c r="M58" s="21">
        <v>26</v>
      </c>
      <c r="N58" s="21">
        <v>21</v>
      </c>
      <c r="O58" s="21">
        <v>21</v>
      </c>
      <c r="P58" s="21">
        <v>20</v>
      </c>
      <c r="Q58" s="21">
        <v>21</v>
      </c>
      <c r="R58" s="21">
        <v>27</v>
      </c>
      <c r="S58" s="130">
        <v>25</v>
      </c>
      <c r="T58" s="22">
        <v>21</v>
      </c>
    </row>
    <row r="59" spans="1:20" s="126" customFormat="1" ht="16" customHeight="1" x14ac:dyDescent="0.35">
      <c r="A59" s="125"/>
      <c r="B59" s="496" t="s">
        <v>233</v>
      </c>
      <c r="C59" s="441"/>
      <c r="D59" s="441"/>
      <c r="E59" s="441"/>
      <c r="F59" s="441"/>
      <c r="G59" s="441"/>
      <c r="H59" s="441"/>
      <c r="I59" s="441"/>
      <c r="J59" s="441"/>
      <c r="K59" s="441"/>
      <c r="L59" s="441"/>
      <c r="M59" s="441"/>
      <c r="N59" s="441"/>
      <c r="O59" s="441"/>
      <c r="P59" s="441"/>
      <c r="Q59" s="441"/>
      <c r="R59" s="441"/>
      <c r="S59" s="441"/>
      <c r="T59" s="497"/>
    </row>
    <row r="60" spans="1:20" ht="15" customHeight="1" x14ac:dyDescent="0.35">
      <c r="A60" s="12"/>
      <c r="B60" s="32" t="s">
        <v>249</v>
      </c>
      <c r="C60" s="313"/>
      <c r="D60" s="280"/>
      <c r="E60" s="128">
        <v>388</v>
      </c>
      <c r="F60" s="6">
        <v>374</v>
      </c>
      <c r="G60" s="346">
        <v>386</v>
      </c>
      <c r="H60" s="405">
        <f>I60</f>
        <v>265</v>
      </c>
      <c r="I60" s="33">
        <v>265</v>
      </c>
      <c r="J60" s="36" t="s">
        <v>41</v>
      </c>
      <c r="K60" s="138" t="s">
        <v>41</v>
      </c>
      <c r="L60" s="36" t="s">
        <v>41</v>
      </c>
      <c r="M60" s="36" t="s">
        <v>41</v>
      </c>
      <c r="N60" s="36" t="s">
        <v>41</v>
      </c>
      <c r="O60" s="36" t="s">
        <v>41</v>
      </c>
      <c r="P60" s="36" t="s">
        <v>41</v>
      </c>
      <c r="Q60" s="36" t="s">
        <v>41</v>
      </c>
      <c r="R60" s="34">
        <v>22</v>
      </c>
      <c r="S60" s="34">
        <v>22</v>
      </c>
      <c r="T60" s="53">
        <v>28</v>
      </c>
    </row>
    <row r="61" spans="1:20" ht="15" customHeight="1" x14ac:dyDescent="0.35">
      <c r="A61" s="12"/>
      <c r="B61" s="193" t="s">
        <v>229</v>
      </c>
      <c r="C61" s="314"/>
      <c r="D61" s="282"/>
      <c r="E61" s="128">
        <v>755</v>
      </c>
      <c r="F61" s="19">
        <v>768</v>
      </c>
      <c r="G61" s="346">
        <v>800</v>
      </c>
      <c r="H61" s="405">
        <f>I61</f>
        <v>531</v>
      </c>
      <c r="I61" s="36">
        <v>531</v>
      </c>
      <c r="J61" s="36" t="s">
        <v>41</v>
      </c>
      <c r="K61" s="138" t="s">
        <v>41</v>
      </c>
      <c r="L61" s="36" t="s">
        <v>41</v>
      </c>
      <c r="M61" s="36" t="s">
        <v>41</v>
      </c>
      <c r="N61" s="36" t="s">
        <v>41</v>
      </c>
      <c r="O61" s="36" t="s">
        <v>41</v>
      </c>
      <c r="P61" s="36" t="s">
        <v>41</v>
      </c>
      <c r="Q61" s="36" t="s">
        <v>41</v>
      </c>
      <c r="R61" s="34">
        <v>51</v>
      </c>
      <c r="S61" s="34">
        <v>51</v>
      </c>
      <c r="T61" s="35">
        <v>61</v>
      </c>
    </row>
    <row r="62" spans="1:20" ht="15" customHeight="1" x14ac:dyDescent="0.35">
      <c r="A62" s="12"/>
      <c r="B62" s="30" t="s">
        <v>250</v>
      </c>
      <c r="C62" s="315"/>
      <c r="D62" s="282"/>
      <c r="E62" s="128">
        <v>1600</v>
      </c>
      <c r="F62" s="19">
        <v>1484</v>
      </c>
      <c r="G62" s="346">
        <v>723</v>
      </c>
      <c r="H62" s="405">
        <f>M62</f>
        <v>503</v>
      </c>
      <c r="I62" s="36" t="s">
        <v>41</v>
      </c>
      <c r="J62" s="36">
        <v>12</v>
      </c>
      <c r="K62" s="34">
        <v>12</v>
      </c>
      <c r="L62" s="270">
        <v>331</v>
      </c>
      <c r="M62" s="33">
        <v>503</v>
      </c>
      <c r="N62" s="36" t="s">
        <v>41</v>
      </c>
      <c r="O62" s="36" t="s">
        <v>41</v>
      </c>
      <c r="P62" s="36" t="s">
        <v>41</v>
      </c>
      <c r="Q62" s="36" t="s">
        <v>41</v>
      </c>
      <c r="R62" s="36" t="s">
        <v>41</v>
      </c>
      <c r="S62" s="36" t="s">
        <v>41</v>
      </c>
      <c r="T62" s="36" t="s">
        <v>41</v>
      </c>
    </row>
    <row r="63" spans="1:20" ht="15" customHeight="1" x14ac:dyDescent="0.35">
      <c r="A63" s="12"/>
      <c r="B63" s="193" t="s">
        <v>225</v>
      </c>
      <c r="C63" s="314"/>
      <c r="D63" s="282"/>
      <c r="E63" s="128">
        <v>3154</v>
      </c>
      <c r="F63" s="19">
        <v>3878</v>
      </c>
      <c r="G63" s="346">
        <v>1916</v>
      </c>
      <c r="H63" s="405">
        <f>M63</f>
        <v>1435</v>
      </c>
      <c r="I63" s="36" t="s">
        <v>41</v>
      </c>
      <c r="J63" s="36">
        <v>23</v>
      </c>
      <c r="K63" s="34">
        <v>28</v>
      </c>
      <c r="L63" s="270">
        <v>508</v>
      </c>
      <c r="M63" s="33">
        <v>1435</v>
      </c>
      <c r="N63" s="36" t="s">
        <v>41</v>
      </c>
      <c r="O63" s="36" t="s">
        <v>41</v>
      </c>
      <c r="P63" s="36" t="s">
        <v>41</v>
      </c>
      <c r="Q63" s="36" t="s">
        <v>41</v>
      </c>
      <c r="R63" s="36" t="s">
        <v>41</v>
      </c>
      <c r="S63" s="36" t="s">
        <v>41</v>
      </c>
      <c r="T63" s="36" t="s">
        <v>41</v>
      </c>
    </row>
    <row r="64" spans="1:20" ht="15" customHeight="1" x14ac:dyDescent="0.35">
      <c r="A64" s="12"/>
      <c r="B64" s="30" t="s">
        <v>251</v>
      </c>
      <c r="C64" s="315"/>
      <c r="D64" s="282"/>
      <c r="E64" s="128">
        <v>2617</v>
      </c>
      <c r="F64" s="19">
        <v>2893</v>
      </c>
      <c r="G64" s="346">
        <v>3013</v>
      </c>
      <c r="H64" s="405">
        <f>N64</f>
        <v>846</v>
      </c>
      <c r="I64" s="36" t="s">
        <v>41</v>
      </c>
      <c r="J64" s="36">
        <v>27</v>
      </c>
      <c r="K64" s="34">
        <v>26</v>
      </c>
      <c r="L64" s="270">
        <v>29</v>
      </c>
      <c r="M64" s="138">
        <v>842</v>
      </c>
      <c r="N64" s="34">
        <v>846</v>
      </c>
      <c r="O64" s="36" t="s">
        <v>41</v>
      </c>
      <c r="P64" s="36" t="s">
        <v>41</v>
      </c>
      <c r="Q64" s="36" t="s">
        <v>41</v>
      </c>
      <c r="R64" s="36" t="s">
        <v>41</v>
      </c>
      <c r="S64" s="36" t="s">
        <v>41</v>
      </c>
      <c r="T64" s="36" t="s">
        <v>41</v>
      </c>
    </row>
    <row r="65" spans="1:21" ht="15" customHeight="1" x14ac:dyDescent="0.35">
      <c r="A65" s="12"/>
      <c r="B65" s="192" t="s">
        <v>223</v>
      </c>
      <c r="C65" s="310"/>
      <c r="D65" s="281"/>
      <c r="E65" s="128">
        <v>4752</v>
      </c>
      <c r="F65" s="11">
        <v>6632</v>
      </c>
      <c r="G65" s="346">
        <v>7146</v>
      </c>
      <c r="H65" s="405">
        <f>N65</f>
        <v>2212</v>
      </c>
      <c r="I65" s="36" t="s">
        <v>41</v>
      </c>
      <c r="J65" s="36">
        <v>50</v>
      </c>
      <c r="K65" s="34">
        <v>59</v>
      </c>
      <c r="L65" s="271">
        <v>65</v>
      </c>
      <c r="M65" s="37">
        <v>2105</v>
      </c>
      <c r="N65" s="34">
        <v>2212</v>
      </c>
      <c r="O65" s="36" t="s">
        <v>41</v>
      </c>
      <c r="P65" s="36" t="s">
        <v>41</v>
      </c>
      <c r="Q65" s="36" t="s">
        <v>41</v>
      </c>
      <c r="R65" s="36" t="s">
        <v>41</v>
      </c>
      <c r="S65" s="36" t="s">
        <v>41</v>
      </c>
      <c r="T65" s="36" t="s">
        <v>41</v>
      </c>
    </row>
    <row r="66" spans="1:21" s="126" customFormat="1" ht="16" customHeight="1" x14ac:dyDescent="0.35">
      <c r="A66" s="125"/>
      <c r="B66" s="496" t="s">
        <v>95</v>
      </c>
      <c r="C66" s="441"/>
      <c r="D66" s="441"/>
      <c r="E66" s="441"/>
      <c r="F66" s="441"/>
      <c r="G66" s="441"/>
      <c r="H66" s="441"/>
      <c r="I66" s="441"/>
      <c r="J66" s="441"/>
      <c r="K66" s="441"/>
      <c r="L66" s="441"/>
      <c r="M66" s="441"/>
      <c r="N66" s="441"/>
      <c r="O66" s="441"/>
      <c r="P66" s="441"/>
      <c r="Q66" s="441"/>
      <c r="R66" s="441"/>
      <c r="S66" s="441"/>
      <c r="T66" s="497"/>
    </row>
    <row r="67" spans="1:21" ht="15" customHeight="1" x14ac:dyDescent="0.35">
      <c r="A67" s="12"/>
      <c r="B67" s="5" t="s">
        <v>134</v>
      </c>
      <c r="C67" s="181"/>
      <c r="E67" s="329">
        <v>2738194.7</v>
      </c>
      <c r="F67" s="39">
        <v>2602313.4900000002</v>
      </c>
      <c r="G67" s="392">
        <v>3120996.8400000003</v>
      </c>
      <c r="H67" s="39">
        <f>SUM(I67:U67)</f>
        <v>3090917.45</v>
      </c>
      <c r="I67" s="40">
        <v>288680.81</v>
      </c>
      <c r="J67" s="42">
        <v>290693.3</v>
      </c>
      <c r="K67" s="42">
        <v>242314.7</v>
      </c>
      <c r="L67" s="272">
        <v>227669.67</v>
      </c>
      <c r="M67" s="42">
        <v>244256.95</v>
      </c>
      <c r="N67" s="42">
        <v>251591.46</v>
      </c>
      <c r="O67" s="42">
        <v>246210.21</v>
      </c>
      <c r="P67" s="42">
        <v>231379.04</v>
      </c>
      <c r="Q67" s="42">
        <v>268248.01</v>
      </c>
      <c r="R67" s="341">
        <v>267138.71999999997</v>
      </c>
      <c r="S67" s="343">
        <v>268163.74</v>
      </c>
      <c r="T67" s="342">
        <v>264570.84000000003</v>
      </c>
    </row>
    <row r="68" spans="1:21" ht="15" customHeight="1" x14ac:dyDescent="0.35">
      <c r="A68" s="12"/>
      <c r="B68" s="18" t="s">
        <v>135</v>
      </c>
      <c r="C68" s="181"/>
      <c r="E68" s="329">
        <v>27598.720000000005</v>
      </c>
      <c r="F68" s="39">
        <v>26937.960000000003</v>
      </c>
      <c r="G68" s="392">
        <v>0</v>
      </c>
      <c r="H68" s="39">
        <f t="shared" ref="H68:H77" si="5">SUM(I68:U68)</f>
        <v>0</v>
      </c>
      <c r="I68" s="40">
        <v>0</v>
      </c>
      <c r="J68" s="40">
        <v>0</v>
      </c>
      <c r="K68" s="42">
        <v>0</v>
      </c>
      <c r="L68" s="42">
        <v>0</v>
      </c>
      <c r="M68" s="42">
        <v>0</v>
      </c>
      <c r="N68" s="42">
        <v>0</v>
      </c>
      <c r="O68" s="42">
        <v>0</v>
      </c>
      <c r="P68" s="42">
        <v>0</v>
      </c>
      <c r="Q68" s="42">
        <v>0</v>
      </c>
      <c r="R68" s="42">
        <v>0</v>
      </c>
      <c r="S68" s="138">
        <v>0</v>
      </c>
      <c r="T68" s="138">
        <v>0</v>
      </c>
    </row>
    <row r="69" spans="1:21" ht="15" customHeight="1" x14ac:dyDescent="0.35">
      <c r="A69" s="12"/>
      <c r="B69" s="18" t="s">
        <v>96</v>
      </c>
      <c r="C69" s="181"/>
      <c r="E69" s="329">
        <v>101712.98000000001</v>
      </c>
      <c r="F69" s="39">
        <v>118663.80000000002</v>
      </c>
      <c r="G69" s="392">
        <v>93891.540000000008</v>
      </c>
      <c r="H69" s="39">
        <f t="shared" si="5"/>
        <v>74128.84</v>
      </c>
      <c r="I69" s="40">
        <f>10080+10370</f>
        <v>20450</v>
      </c>
      <c r="J69" s="42">
        <v>1450</v>
      </c>
      <c r="K69" s="326">
        <v>1080.08</v>
      </c>
      <c r="L69" s="272">
        <f>5958.76+9210</f>
        <v>15168.76</v>
      </c>
      <c r="M69" s="42">
        <v>850</v>
      </c>
      <c r="N69" s="42">
        <v>870</v>
      </c>
      <c r="O69" s="42">
        <f>8510+4910</f>
        <v>13420</v>
      </c>
      <c r="P69" s="42">
        <v>1020</v>
      </c>
      <c r="Q69" s="42">
        <v>320</v>
      </c>
      <c r="R69" s="341">
        <f>8760+8920</f>
        <v>17680</v>
      </c>
      <c r="S69" s="343">
        <v>540</v>
      </c>
      <c r="T69" s="326">
        <v>1280</v>
      </c>
    </row>
    <row r="70" spans="1:21" ht="15" customHeight="1" x14ac:dyDescent="0.35">
      <c r="A70" s="12"/>
      <c r="B70" s="10" t="s">
        <v>97</v>
      </c>
      <c r="C70" s="181"/>
      <c r="E70" s="329">
        <v>39218.49</v>
      </c>
      <c r="F70" s="39">
        <v>19580.650000000001</v>
      </c>
      <c r="G70" s="392">
        <v>40500.03</v>
      </c>
      <c r="H70" s="39">
        <f t="shared" si="5"/>
        <v>21271.350000000002</v>
      </c>
      <c r="I70" s="326">
        <v>2717</v>
      </c>
      <c r="J70" s="42">
        <v>50</v>
      </c>
      <c r="K70" s="42">
        <f>1149+620</f>
        <v>1769</v>
      </c>
      <c r="L70" s="138">
        <f>683+180</f>
        <v>863</v>
      </c>
      <c r="M70" s="42">
        <v>977.5</v>
      </c>
      <c r="N70" s="326">
        <f>4921.5+156.35</f>
        <v>5077.8500000000004</v>
      </c>
      <c r="O70" s="417">
        <v>1675.55</v>
      </c>
      <c r="P70" s="42">
        <v>805</v>
      </c>
      <c r="Q70" s="42">
        <f>800+4032.5</f>
        <v>4832.5</v>
      </c>
      <c r="R70" s="326">
        <v>255</v>
      </c>
      <c r="S70" s="343">
        <v>580</v>
      </c>
      <c r="T70" s="342">
        <v>1668.95</v>
      </c>
    </row>
    <row r="71" spans="1:21" ht="15" customHeight="1" x14ac:dyDescent="0.35">
      <c r="A71" s="12"/>
      <c r="B71" s="5" t="s">
        <v>98</v>
      </c>
      <c r="C71" s="181"/>
      <c r="E71" s="329">
        <v>105088.07</v>
      </c>
      <c r="F71" s="39">
        <v>145806.03000000003</v>
      </c>
      <c r="G71" s="392">
        <v>214106.31</v>
      </c>
      <c r="H71" s="39">
        <f t="shared" si="5"/>
        <v>197067.08</v>
      </c>
      <c r="I71" s="40">
        <f>29041.98+152.61</f>
        <v>29194.59</v>
      </c>
      <c r="J71" s="42">
        <f>6659.93+14765+82.8+87.4</f>
        <v>21595.13</v>
      </c>
      <c r="K71" s="42">
        <f>37515.7+683.17</f>
        <v>38198.869999999995</v>
      </c>
      <c r="L71" s="272">
        <f>75+47925.59+40</f>
        <v>48040.59</v>
      </c>
      <c r="M71" s="42">
        <v>5613.16</v>
      </c>
      <c r="N71" s="42">
        <v>1891.43</v>
      </c>
      <c r="O71" s="417">
        <v>2465.23</v>
      </c>
      <c r="P71" s="42">
        <v>25307.77</v>
      </c>
      <c r="Q71" s="326">
        <f>7638.11+50+988.92</f>
        <v>8677.0299999999988</v>
      </c>
      <c r="R71" s="341">
        <f>2872.79+305.79+50</f>
        <v>3228.58</v>
      </c>
      <c r="S71" s="343">
        <v>3540.17</v>
      </c>
      <c r="T71" s="342">
        <v>9314.5300000000007</v>
      </c>
    </row>
    <row r="72" spans="1:21" ht="15" customHeight="1" x14ac:dyDescent="0.35">
      <c r="A72" s="12"/>
      <c r="B72" s="18" t="s">
        <v>136</v>
      </c>
      <c r="C72" s="181"/>
      <c r="E72" s="329">
        <v>41296.51</v>
      </c>
      <c r="F72" s="39">
        <v>11808.15</v>
      </c>
      <c r="G72" s="392">
        <v>63008.239999999991</v>
      </c>
      <c r="H72" s="39">
        <f t="shared" si="5"/>
        <v>43001.09</v>
      </c>
      <c r="I72" s="40">
        <v>7128</v>
      </c>
      <c r="J72" s="42">
        <v>1998.64</v>
      </c>
      <c r="K72" s="42">
        <v>1105</v>
      </c>
      <c r="L72" s="272">
        <v>13096.27</v>
      </c>
      <c r="M72" s="138">
        <v>1923.17</v>
      </c>
      <c r="N72" s="42">
        <v>304.8</v>
      </c>
      <c r="O72" s="42">
        <v>980.12</v>
      </c>
      <c r="P72" s="42">
        <v>1681.96</v>
      </c>
      <c r="Q72" s="42">
        <v>975</v>
      </c>
      <c r="R72" s="341">
        <v>12553.13</v>
      </c>
      <c r="S72" s="138">
        <v>530</v>
      </c>
      <c r="T72" s="342">
        <v>725</v>
      </c>
    </row>
    <row r="73" spans="1:21" ht="15" customHeight="1" x14ac:dyDescent="0.35">
      <c r="A73" s="12"/>
      <c r="B73" s="18" t="s">
        <v>137</v>
      </c>
      <c r="C73" s="181"/>
      <c r="E73" s="329">
        <v>12821.310000000001</v>
      </c>
      <c r="F73" s="39">
        <v>82654.910000000018</v>
      </c>
      <c r="G73" s="392">
        <v>26788.06</v>
      </c>
      <c r="H73" s="39">
        <f t="shared" si="5"/>
        <v>13112.200000000003</v>
      </c>
      <c r="I73" s="40">
        <v>7162.21</v>
      </c>
      <c r="J73" s="138">
        <v>296.5</v>
      </c>
      <c r="K73" s="42">
        <v>204.35</v>
      </c>
      <c r="L73" s="272">
        <v>600</v>
      </c>
      <c r="M73" s="42">
        <v>980.54</v>
      </c>
      <c r="N73" s="42">
        <v>1352</v>
      </c>
      <c r="O73" s="42">
        <v>200</v>
      </c>
      <c r="P73" s="42">
        <v>200</v>
      </c>
      <c r="Q73" s="42">
        <v>200</v>
      </c>
      <c r="R73" s="341">
        <v>1005.93</v>
      </c>
      <c r="S73" s="326">
        <v>342.32</v>
      </c>
      <c r="T73" s="342">
        <v>568.35</v>
      </c>
    </row>
    <row r="74" spans="1:21" ht="15" customHeight="1" x14ac:dyDescent="0.35">
      <c r="A74" s="12"/>
      <c r="B74" s="30" t="s">
        <v>138</v>
      </c>
      <c r="D74" s="287"/>
      <c r="E74" s="329">
        <v>1244</v>
      </c>
      <c r="F74" s="39">
        <v>1810</v>
      </c>
      <c r="G74" s="392">
        <v>19313</v>
      </c>
      <c r="H74" s="39">
        <f t="shared" si="5"/>
        <v>30697.75</v>
      </c>
      <c r="I74" s="40">
        <v>0</v>
      </c>
      <c r="J74" s="40">
        <v>0</v>
      </c>
      <c r="K74" s="40">
        <v>0</v>
      </c>
      <c r="L74" s="40">
        <v>0</v>
      </c>
      <c r="M74" s="40">
        <v>12183</v>
      </c>
      <c r="N74" s="40">
        <v>0</v>
      </c>
      <c r="O74" s="42">
        <v>0</v>
      </c>
      <c r="P74" s="42">
        <v>571.16999999999996</v>
      </c>
      <c r="Q74" s="42">
        <v>480</v>
      </c>
      <c r="R74" s="42">
        <v>0</v>
      </c>
      <c r="S74" s="42">
        <v>16657.580000000002</v>
      </c>
      <c r="T74" s="42">
        <v>806</v>
      </c>
    </row>
    <row r="75" spans="1:21" ht="15" hidden="1" customHeight="1" x14ac:dyDescent="0.35">
      <c r="A75" s="12"/>
      <c r="B75" s="30" t="s">
        <v>219</v>
      </c>
      <c r="D75" s="287"/>
      <c r="E75" s="329">
        <v>76144.849999999991</v>
      </c>
      <c r="F75" s="39">
        <v>70</v>
      </c>
      <c r="G75" s="392">
        <v>0</v>
      </c>
      <c r="H75" s="39">
        <f t="shared" si="5"/>
        <v>0</v>
      </c>
      <c r="I75" s="40"/>
      <c r="J75" s="40"/>
      <c r="K75" s="40"/>
      <c r="L75" s="40"/>
      <c r="M75" s="40"/>
      <c r="N75" s="40"/>
      <c r="O75" s="42"/>
      <c r="P75" s="42"/>
      <c r="Q75" s="42"/>
      <c r="R75" s="42"/>
      <c r="S75" s="42"/>
      <c r="T75" s="42"/>
    </row>
    <row r="76" spans="1:21" ht="15" customHeight="1" x14ac:dyDescent="0.35">
      <c r="A76" s="12"/>
      <c r="B76" s="30" t="s">
        <v>213</v>
      </c>
      <c r="D76" s="287"/>
      <c r="E76" s="329">
        <v>36777.25</v>
      </c>
      <c r="F76" s="39">
        <v>41379.12999999999</v>
      </c>
      <c r="G76" s="392">
        <v>74726.39</v>
      </c>
      <c r="H76" s="39">
        <f t="shared" si="5"/>
        <v>45559.360000000001</v>
      </c>
      <c r="I76" s="40">
        <v>1104</v>
      </c>
      <c r="J76" s="42">
        <v>2096.92</v>
      </c>
      <c r="K76" s="42">
        <v>3118</v>
      </c>
      <c r="L76" s="272">
        <v>11835.69</v>
      </c>
      <c r="M76" s="42">
        <v>1499.77</v>
      </c>
      <c r="N76" s="42">
        <v>742</v>
      </c>
      <c r="O76" s="42">
        <v>2136.1</v>
      </c>
      <c r="P76" s="42">
        <v>742</v>
      </c>
      <c r="Q76" s="42">
        <v>1212.8399999999999</v>
      </c>
      <c r="R76" s="341">
        <v>16923.900000000001</v>
      </c>
      <c r="S76" s="343">
        <v>1401.4</v>
      </c>
      <c r="T76" s="342">
        <v>2746.74</v>
      </c>
    </row>
    <row r="77" spans="1:21" ht="15" customHeight="1" x14ac:dyDescent="0.35">
      <c r="A77" s="12"/>
      <c r="B77" s="30" t="s">
        <v>139</v>
      </c>
      <c r="D77" s="287"/>
      <c r="E77" s="329">
        <v>3106544.58</v>
      </c>
      <c r="F77" s="39">
        <v>2745272.69</v>
      </c>
      <c r="G77" s="392">
        <f>SUM(G67:G74)</f>
        <v>3578604.02</v>
      </c>
      <c r="H77" s="39">
        <f t="shared" si="5"/>
        <v>3424636.0000000005</v>
      </c>
      <c r="I77" s="40">
        <v>354228.21</v>
      </c>
      <c r="J77" s="42">
        <v>313986.65000000002</v>
      </c>
      <c r="K77" s="42">
        <v>281554</v>
      </c>
      <c r="L77" s="272">
        <v>293602.59999999998</v>
      </c>
      <c r="M77" s="42">
        <v>265284.55</v>
      </c>
      <c r="N77" s="40">
        <v>260345.54</v>
      </c>
      <c r="O77" s="42">
        <v>262815.01</v>
      </c>
      <c r="P77" s="42">
        <v>260222.94</v>
      </c>
      <c r="Q77" s="42">
        <v>282519.7</v>
      </c>
      <c r="R77" s="341">
        <v>284937.46000000002</v>
      </c>
      <c r="S77" s="343">
        <v>288952.40999999997</v>
      </c>
      <c r="T77" s="342">
        <v>276186.93</v>
      </c>
      <c r="U77" s="43"/>
    </row>
    <row r="78" spans="1:21" ht="31.5" customHeight="1" x14ac:dyDescent="0.35">
      <c r="A78" s="12"/>
      <c r="B78" s="31" t="s">
        <v>140</v>
      </c>
      <c r="D78" s="286"/>
      <c r="E78" s="329">
        <v>11078</v>
      </c>
      <c r="F78" s="39">
        <v>1902</v>
      </c>
      <c r="G78" s="392">
        <v>0</v>
      </c>
      <c r="H78" s="39">
        <f t="shared" ref="H78" si="6">SUM(J78:U78)</f>
        <v>0</v>
      </c>
      <c r="I78" s="40">
        <v>0</v>
      </c>
      <c r="J78" s="40">
        <v>0</v>
      </c>
      <c r="K78" s="40">
        <v>0</v>
      </c>
      <c r="L78" s="40">
        <v>0</v>
      </c>
      <c r="M78" s="40">
        <v>0</v>
      </c>
      <c r="N78" s="326">
        <v>0</v>
      </c>
      <c r="O78" s="326">
        <v>0</v>
      </c>
      <c r="P78" s="326">
        <v>0</v>
      </c>
      <c r="Q78" s="326">
        <v>0</v>
      </c>
      <c r="R78" s="326">
        <v>0</v>
      </c>
      <c r="S78" s="40">
        <v>0</v>
      </c>
      <c r="T78" s="40">
        <v>0</v>
      </c>
    </row>
    <row r="79" spans="1:21" s="126" customFormat="1" ht="16" customHeight="1" x14ac:dyDescent="0.35">
      <c r="A79" s="125"/>
      <c r="B79" s="490" t="s">
        <v>23</v>
      </c>
      <c r="C79" s="491"/>
      <c r="D79" s="491"/>
      <c r="E79" s="491"/>
      <c r="F79" s="491"/>
      <c r="G79" s="491"/>
      <c r="H79" s="491"/>
      <c r="I79" s="491"/>
      <c r="J79" s="491"/>
      <c r="K79" s="491"/>
      <c r="L79" s="491"/>
      <c r="M79" s="491"/>
      <c r="N79" s="491"/>
      <c r="O79" s="491"/>
      <c r="P79" s="491"/>
      <c r="Q79" s="491"/>
      <c r="R79" s="491"/>
      <c r="S79" s="491"/>
      <c r="T79" s="492"/>
    </row>
    <row r="80" spans="1:21" s="126" customFormat="1" ht="16" customHeight="1" x14ac:dyDescent="0.35">
      <c r="A80" s="125"/>
      <c r="B80" s="493" t="s">
        <v>24</v>
      </c>
      <c r="C80" s="494"/>
      <c r="D80" s="494"/>
      <c r="E80" s="494"/>
      <c r="F80" s="494"/>
      <c r="G80" s="494"/>
      <c r="H80" s="494"/>
      <c r="I80" s="494"/>
      <c r="J80" s="494"/>
      <c r="K80" s="494"/>
      <c r="L80" s="494"/>
      <c r="M80" s="494"/>
      <c r="N80" s="494"/>
      <c r="O80" s="494"/>
      <c r="P80" s="494"/>
      <c r="Q80" s="494"/>
      <c r="R80" s="494"/>
      <c r="S80" s="494"/>
      <c r="T80" s="495"/>
    </row>
    <row r="81" spans="1:20" ht="15" customHeight="1" x14ac:dyDescent="0.35">
      <c r="A81" s="12"/>
      <c r="B81" s="32" t="s">
        <v>141</v>
      </c>
      <c r="C81" s="313"/>
      <c r="D81" s="280"/>
      <c r="E81" s="137">
        <v>411</v>
      </c>
      <c r="F81" s="296">
        <v>412</v>
      </c>
      <c r="G81" s="124">
        <v>503</v>
      </c>
      <c r="H81" s="395">
        <f>SUM(I81:U81)</f>
        <v>918</v>
      </c>
      <c r="I81" s="257">
        <v>68</v>
      </c>
      <c r="J81" s="258">
        <v>82</v>
      </c>
      <c r="K81" s="100">
        <v>84</v>
      </c>
      <c r="L81" s="46">
        <v>87</v>
      </c>
      <c r="M81" s="8">
        <v>78</v>
      </c>
      <c r="N81" s="8">
        <v>74</v>
      </c>
      <c r="O81" s="8">
        <v>84</v>
      </c>
      <c r="P81" s="8">
        <v>61</v>
      </c>
      <c r="Q81" s="8">
        <v>69</v>
      </c>
      <c r="R81" s="8">
        <v>77</v>
      </c>
      <c r="S81" s="8">
        <v>76</v>
      </c>
      <c r="T81" s="9">
        <v>78</v>
      </c>
    </row>
    <row r="82" spans="1:20" ht="15" customHeight="1" x14ac:dyDescent="0.35">
      <c r="A82" s="12"/>
      <c r="B82" s="30" t="s">
        <v>241</v>
      </c>
      <c r="C82" s="315"/>
      <c r="D82" s="282" t="s">
        <v>205</v>
      </c>
      <c r="E82" s="137">
        <v>5</v>
      </c>
      <c r="F82" s="297">
        <v>4.6666666670000003</v>
      </c>
      <c r="G82" s="412">
        <v>6.6363636363636367</v>
      </c>
      <c r="H82" s="395">
        <f>AVERAGE(I82:U82)</f>
        <v>48.583333333333336</v>
      </c>
      <c r="I82" s="29">
        <v>42</v>
      </c>
      <c r="J82" s="8">
        <v>53</v>
      </c>
      <c r="K82" s="16">
        <v>54</v>
      </c>
      <c r="L82" s="236">
        <v>55</v>
      </c>
      <c r="M82" s="16">
        <v>40</v>
      </c>
      <c r="N82" s="16">
        <v>47</v>
      </c>
      <c r="O82" s="16">
        <v>61</v>
      </c>
      <c r="P82" s="16">
        <v>34</v>
      </c>
      <c r="Q82" s="16">
        <v>49</v>
      </c>
      <c r="R82" s="16">
        <v>50</v>
      </c>
      <c r="S82" s="16">
        <v>51</v>
      </c>
      <c r="T82" s="17">
        <v>47</v>
      </c>
    </row>
    <row r="83" spans="1:20" ht="15" customHeight="1" x14ac:dyDescent="0.35">
      <c r="A83" s="12"/>
      <c r="B83" s="30" t="s">
        <v>106</v>
      </c>
      <c r="C83" s="315"/>
      <c r="D83" s="282" t="s">
        <v>205</v>
      </c>
      <c r="E83" s="137">
        <v>71.25</v>
      </c>
      <c r="F83" s="298">
        <v>61</v>
      </c>
      <c r="G83" s="412">
        <v>89.818181818181813</v>
      </c>
      <c r="H83" s="395">
        <f>AVERAGE(I83:U83)</f>
        <v>78.333333333333329</v>
      </c>
      <c r="I83" s="138">
        <v>66</v>
      </c>
      <c r="J83" s="29">
        <v>92</v>
      </c>
      <c r="K83" s="29">
        <v>95</v>
      </c>
      <c r="L83" s="273">
        <v>107</v>
      </c>
      <c r="M83" s="29">
        <v>84</v>
      </c>
      <c r="N83" s="29">
        <v>85</v>
      </c>
      <c r="O83" s="29">
        <v>95</v>
      </c>
      <c r="P83" s="29">
        <v>64</v>
      </c>
      <c r="Q83" s="29">
        <v>64</v>
      </c>
      <c r="R83" s="29">
        <v>56</v>
      </c>
      <c r="S83" s="273">
        <v>61</v>
      </c>
      <c r="T83" s="35">
        <v>71</v>
      </c>
    </row>
    <row r="84" spans="1:20" ht="15" customHeight="1" x14ac:dyDescent="0.35">
      <c r="A84" s="12"/>
      <c r="B84" s="193" t="s">
        <v>143</v>
      </c>
      <c r="C84" s="311"/>
      <c r="E84" s="158">
        <v>0</v>
      </c>
      <c r="F84" s="158">
        <v>0</v>
      </c>
      <c r="G84" s="536">
        <v>0</v>
      </c>
      <c r="H84" s="536">
        <v>0</v>
      </c>
      <c r="I84" s="29">
        <v>41</v>
      </c>
      <c r="J84" s="138">
        <v>59</v>
      </c>
      <c r="K84" s="29">
        <v>59</v>
      </c>
      <c r="L84" s="273">
        <v>60</v>
      </c>
      <c r="M84" s="29">
        <v>46</v>
      </c>
      <c r="N84" s="138">
        <v>53</v>
      </c>
      <c r="O84" s="29">
        <v>65</v>
      </c>
      <c r="P84" s="29">
        <v>41</v>
      </c>
      <c r="Q84" s="29">
        <v>52</v>
      </c>
      <c r="R84" s="29">
        <v>55</v>
      </c>
      <c r="S84" s="29">
        <v>57</v>
      </c>
      <c r="T84" s="28">
        <v>56</v>
      </c>
    </row>
    <row r="85" spans="1:20" ht="15" customHeight="1" x14ac:dyDescent="0.35">
      <c r="A85" s="12"/>
      <c r="B85" s="192" t="s">
        <v>144</v>
      </c>
      <c r="C85" s="311"/>
      <c r="E85" s="161">
        <v>0</v>
      </c>
      <c r="F85" s="161">
        <v>0</v>
      </c>
      <c r="G85" s="537">
        <v>0</v>
      </c>
      <c r="H85" s="537">
        <v>0</v>
      </c>
      <c r="I85" s="29">
        <v>41</v>
      </c>
      <c r="J85" s="29">
        <v>41</v>
      </c>
      <c r="K85" s="29">
        <v>54</v>
      </c>
      <c r="L85" s="273">
        <v>50</v>
      </c>
      <c r="M85" s="29">
        <v>43</v>
      </c>
      <c r="N85" s="29">
        <v>41</v>
      </c>
      <c r="O85" s="29">
        <v>42</v>
      </c>
      <c r="P85" s="29">
        <v>50</v>
      </c>
      <c r="Q85" s="29">
        <v>43</v>
      </c>
      <c r="R85" s="29">
        <v>44</v>
      </c>
      <c r="S85" s="29">
        <v>31</v>
      </c>
      <c r="T85" s="45">
        <v>40</v>
      </c>
    </row>
    <row r="86" spans="1:20" s="126" customFormat="1" ht="16" customHeight="1" x14ac:dyDescent="0.35">
      <c r="A86" s="125"/>
      <c r="B86" s="496" t="s">
        <v>25</v>
      </c>
      <c r="C86" s="441"/>
      <c r="D86" s="441"/>
      <c r="E86" s="441"/>
      <c r="F86" s="441"/>
      <c r="G86" s="441"/>
      <c r="H86" s="441"/>
      <c r="I86" s="441"/>
      <c r="J86" s="441"/>
      <c r="K86" s="441"/>
      <c r="L86" s="441"/>
      <c r="M86" s="441"/>
      <c r="N86" s="441"/>
      <c r="O86" s="441"/>
      <c r="P86" s="441"/>
      <c r="Q86" s="441"/>
      <c r="R86" s="441"/>
      <c r="S86" s="441"/>
      <c r="T86" s="497"/>
    </row>
    <row r="87" spans="1:20" ht="15" customHeight="1" x14ac:dyDescent="0.35">
      <c r="A87" s="12"/>
      <c r="B87" s="32" t="s">
        <v>193</v>
      </c>
      <c r="C87" s="313"/>
      <c r="D87" s="280" t="s">
        <v>205</v>
      </c>
      <c r="E87" s="137">
        <v>117</v>
      </c>
      <c r="F87" s="331">
        <v>121</v>
      </c>
      <c r="G87" s="393">
        <v>128</v>
      </c>
      <c r="H87" s="299">
        <f>AVERAGE(I87:T87)</f>
        <v>130.16666666666666</v>
      </c>
      <c r="I87" s="257">
        <v>127</v>
      </c>
      <c r="J87" s="263">
        <v>129</v>
      </c>
      <c r="K87" s="265">
        <v>127</v>
      </c>
      <c r="L87" s="46">
        <v>127</v>
      </c>
      <c r="M87" s="46">
        <v>129</v>
      </c>
      <c r="N87" s="46">
        <v>127</v>
      </c>
      <c r="O87" s="46">
        <v>129</v>
      </c>
      <c r="P87" s="46">
        <v>131</v>
      </c>
      <c r="Q87" s="46">
        <v>133</v>
      </c>
      <c r="R87" s="46">
        <v>133</v>
      </c>
      <c r="S87" s="46">
        <v>134</v>
      </c>
      <c r="T87" s="23">
        <v>136</v>
      </c>
    </row>
    <row r="88" spans="1:20" ht="15" customHeight="1" x14ac:dyDescent="0.35">
      <c r="A88" s="12"/>
      <c r="B88" s="193" t="s">
        <v>107</v>
      </c>
      <c r="C88" s="311"/>
      <c r="E88" s="160"/>
      <c r="F88" s="160"/>
      <c r="G88" s="160"/>
      <c r="H88" s="160"/>
      <c r="I88" s="7">
        <v>0</v>
      </c>
      <c r="J88" s="27">
        <v>4</v>
      </c>
      <c r="K88" s="2">
        <v>4</v>
      </c>
      <c r="L88" s="138">
        <v>1</v>
      </c>
      <c r="M88" s="2">
        <v>3</v>
      </c>
      <c r="N88" s="2">
        <v>1</v>
      </c>
      <c r="O88" s="2">
        <v>2</v>
      </c>
      <c r="P88" s="2">
        <v>4</v>
      </c>
      <c r="Q88" s="2">
        <v>2</v>
      </c>
      <c r="R88" s="2">
        <v>2</v>
      </c>
      <c r="S88" s="2">
        <v>3</v>
      </c>
      <c r="T88" s="138">
        <v>5</v>
      </c>
    </row>
    <row r="89" spans="1:20" ht="15" customHeight="1" x14ac:dyDescent="0.35">
      <c r="A89" s="12"/>
      <c r="B89" s="192" t="s">
        <v>108</v>
      </c>
      <c r="C89" s="311"/>
      <c r="D89" s="286"/>
      <c r="E89" s="160"/>
      <c r="F89" s="160"/>
      <c r="G89" s="160"/>
      <c r="H89" s="160"/>
      <c r="I89" s="7">
        <v>1</v>
      </c>
      <c r="J89" s="29">
        <v>3</v>
      </c>
      <c r="K89" s="29">
        <v>2</v>
      </c>
      <c r="L89" s="2">
        <v>1</v>
      </c>
      <c r="M89" s="29">
        <v>1</v>
      </c>
      <c r="N89" s="29">
        <v>3</v>
      </c>
      <c r="O89" s="29">
        <v>0</v>
      </c>
      <c r="P89" s="29">
        <v>2</v>
      </c>
      <c r="Q89" s="29">
        <v>0</v>
      </c>
      <c r="R89" s="29">
        <v>2</v>
      </c>
      <c r="S89" s="29">
        <v>2</v>
      </c>
      <c r="T89" s="23">
        <v>3</v>
      </c>
    </row>
    <row r="90" spans="1:20" s="126" customFormat="1" ht="16" customHeight="1" x14ac:dyDescent="0.35">
      <c r="A90" s="125"/>
      <c r="B90" s="496" t="s">
        <v>26</v>
      </c>
      <c r="C90" s="441"/>
      <c r="D90" s="441"/>
      <c r="E90" s="441"/>
      <c r="F90" s="441"/>
      <c r="G90" s="441"/>
      <c r="H90" s="441"/>
      <c r="I90" s="441"/>
      <c r="J90" s="441"/>
      <c r="K90" s="441"/>
      <c r="L90" s="441"/>
      <c r="M90" s="441"/>
      <c r="N90" s="441"/>
      <c r="O90" s="441"/>
      <c r="P90" s="441"/>
      <c r="Q90" s="441"/>
      <c r="R90" s="441"/>
      <c r="S90" s="441"/>
      <c r="T90" s="497"/>
    </row>
    <row r="91" spans="1:20" ht="15" customHeight="1" x14ac:dyDescent="0.35">
      <c r="A91" s="12"/>
      <c r="B91" s="32" t="s">
        <v>145</v>
      </c>
      <c r="D91" s="284" t="s">
        <v>205</v>
      </c>
      <c r="E91" s="332">
        <v>122</v>
      </c>
      <c r="F91" s="330">
        <v>117</v>
      </c>
      <c r="G91" s="393">
        <v>172.72727272727272</v>
      </c>
      <c r="H91" s="299">
        <f>AVERAGE(I91:U91)</f>
        <v>237.33333333333334</v>
      </c>
      <c r="I91" s="7">
        <v>219</v>
      </c>
      <c r="J91" s="264">
        <v>211</v>
      </c>
      <c r="K91" s="46">
        <v>216</v>
      </c>
      <c r="L91" s="46">
        <v>220</v>
      </c>
      <c r="M91" s="46">
        <v>237</v>
      </c>
      <c r="N91" s="46">
        <v>243</v>
      </c>
      <c r="O91" s="46">
        <v>235</v>
      </c>
      <c r="P91" s="46">
        <v>239</v>
      </c>
      <c r="Q91" s="46">
        <v>240</v>
      </c>
      <c r="R91" s="46">
        <v>255</v>
      </c>
      <c r="S91" s="46">
        <v>269</v>
      </c>
      <c r="T91" s="23">
        <v>264</v>
      </c>
    </row>
    <row r="92" spans="1:20" ht="15" hidden="1" customHeight="1" x14ac:dyDescent="0.35">
      <c r="A92" s="12"/>
      <c r="B92" s="193" t="s">
        <v>107</v>
      </c>
      <c r="C92" s="311"/>
      <c r="E92" s="158">
        <v>0</v>
      </c>
      <c r="F92" s="159">
        <v>0</v>
      </c>
      <c r="G92" s="299" t="e">
        <v>#DIV/0!</v>
      </c>
      <c r="H92" s="299" t="e">
        <f t="shared" ref="H92:H95" si="7">AVERAGE(I92:U92)</f>
        <v>#DIV/0!</v>
      </c>
      <c r="I92" s="7"/>
      <c r="J92" s="251"/>
      <c r="K92" s="46"/>
      <c r="L92" s="46"/>
      <c r="M92" s="46"/>
      <c r="N92" s="46"/>
      <c r="O92" s="46"/>
      <c r="P92" s="46"/>
      <c r="Q92" s="46"/>
      <c r="R92" s="46"/>
      <c r="S92" s="46"/>
      <c r="T92" s="23"/>
    </row>
    <row r="93" spans="1:20" ht="15" hidden="1" customHeight="1" x14ac:dyDescent="0.35">
      <c r="A93" s="12"/>
      <c r="B93" s="193" t="s">
        <v>108</v>
      </c>
      <c r="C93" s="311"/>
      <c r="E93" s="156">
        <v>0</v>
      </c>
      <c r="F93" s="157">
        <v>0</v>
      </c>
      <c r="G93" s="299" t="e">
        <v>#DIV/0!</v>
      </c>
      <c r="H93" s="299" t="e">
        <f t="shared" si="7"/>
        <v>#DIV/0!</v>
      </c>
      <c r="I93" s="7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23"/>
    </row>
    <row r="94" spans="1:20" ht="15" customHeight="1" x14ac:dyDescent="0.35">
      <c r="A94" s="12"/>
      <c r="B94" s="30" t="s">
        <v>109</v>
      </c>
      <c r="E94" s="161">
        <v>0</v>
      </c>
      <c r="F94" s="163">
        <v>106142.25</v>
      </c>
      <c r="G94" s="163"/>
      <c r="H94" s="299"/>
      <c r="I94" s="251">
        <v>9044</v>
      </c>
      <c r="J94" s="353">
        <v>8945</v>
      </c>
      <c r="K94" s="354">
        <v>8633.25</v>
      </c>
      <c r="L94" s="414">
        <v>9429.75</v>
      </c>
      <c r="M94" s="355">
        <v>8445</v>
      </c>
      <c r="N94" s="251">
        <v>8316.25</v>
      </c>
      <c r="O94" s="251">
        <v>8089.25</v>
      </c>
      <c r="P94" s="251">
        <v>7077.35</v>
      </c>
      <c r="Q94" s="379">
        <v>7365</v>
      </c>
      <c r="R94" s="349">
        <v>7523</v>
      </c>
      <c r="S94" s="251">
        <v>7716</v>
      </c>
      <c r="T94" s="380">
        <v>9043.75</v>
      </c>
    </row>
    <row r="95" spans="1:20" ht="15" customHeight="1" x14ac:dyDescent="0.35">
      <c r="A95" s="12"/>
      <c r="B95" s="30" t="s">
        <v>146</v>
      </c>
      <c r="D95" s="284" t="s">
        <v>205</v>
      </c>
      <c r="E95" s="332">
        <v>188</v>
      </c>
      <c r="F95" s="299">
        <v>190</v>
      </c>
      <c r="G95" s="393">
        <v>306.90909090909093</v>
      </c>
      <c r="H95" s="299">
        <f t="shared" si="7"/>
        <v>316</v>
      </c>
      <c r="I95" s="411">
        <v>316</v>
      </c>
      <c r="J95" s="266">
        <v>316</v>
      </c>
      <c r="K95" s="265">
        <v>316</v>
      </c>
      <c r="L95" s="46">
        <v>316</v>
      </c>
      <c r="M95" s="46">
        <v>316</v>
      </c>
      <c r="N95" s="46">
        <v>316</v>
      </c>
      <c r="O95" s="46">
        <v>316</v>
      </c>
      <c r="P95" s="46">
        <v>316</v>
      </c>
      <c r="Q95" s="46">
        <v>316</v>
      </c>
      <c r="R95" s="46">
        <v>316</v>
      </c>
      <c r="S95" s="46">
        <v>316</v>
      </c>
      <c r="T95" s="46">
        <v>316</v>
      </c>
    </row>
    <row r="96" spans="1:20" ht="15" customHeight="1" x14ac:dyDescent="0.35">
      <c r="A96" s="12"/>
      <c r="B96" s="193" t="s">
        <v>107</v>
      </c>
      <c r="C96" s="311"/>
      <c r="E96" s="158">
        <v>0</v>
      </c>
      <c r="F96" s="159">
        <v>19</v>
      </c>
      <c r="G96" s="530">
        <v>6.9</v>
      </c>
      <c r="H96" s="530">
        <f t="shared" ref="H96:H97" si="8">AVERAGE(J96:U96)</f>
        <v>8.454545454545455</v>
      </c>
      <c r="I96" s="7">
        <v>20</v>
      </c>
      <c r="J96" s="46">
        <v>4</v>
      </c>
      <c r="K96" s="46">
        <v>5</v>
      </c>
      <c r="L96" s="46">
        <v>4</v>
      </c>
      <c r="M96" s="46">
        <v>17</v>
      </c>
      <c r="N96" s="46">
        <v>6</v>
      </c>
      <c r="O96" s="46">
        <v>0</v>
      </c>
      <c r="P96" s="46">
        <v>4</v>
      </c>
      <c r="Q96" s="46">
        <v>8</v>
      </c>
      <c r="R96" s="46">
        <v>15</v>
      </c>
      <c r="S96" s="46">
        <v>14</v>
      </c>
      <c r="T96" s="23">
        <v>16</v>
      </c>
    </row>
    <row r="97" spans="1:20" ht="15" customHeight="1" x14ac:dyDescent="0.35">
      <c r="A97" s="12"/>
      <c r="B97" s="192" t="s">
        <v>108</v>
      </c>
      <c r="C97" s="311"/>
      <c r="E97" s="161">
        <v>0</v>
      </c>
      <c r="F97" s="163">
        <v>11</v>
      </c>
      <c r="G97" s="531">
        <v>4.9000000000000004</v>
      </c>
      <c r="H97" s="531">
        <f t="shared" si="8"/>
        <v>10.272727272727273</v>
      </c>
      <c r="I97" s="7">
        <v>0</v>
      </c>
      <c r="J97" s="46">
        <v>18</v>
      </c>
      <c r="K97" s="46">
        <v>9</v>
      </c>
      <c r="L97" s="46">
        <v>6</v>
      </c>
      <c r="M97" s="46">
        <v>17</v>
      </c>
      <c r="N97" s="46">
        <v>3</v>
      </c>
      <c r="O97" s="46">
        <v>8</v>
      </c>
      <c r="P97" s="46">
        <v>6</v>
      </c>
      <c r="Q97" s="46">
        <v>7</v>
      </c>
      <c r="R97" s="46">
        <v>8</v>
      </c>
      <c r="S97" s="46">
        <v>11</v>
      </c>
      <c r="T97" s="23">
        <v>20</v>
      </c>
    </row>
    <row r="98" spans="1:20" s="181" customFormat="1" ht="15" hidden="1" customHeight="1" x14ac:dyDescent="0.35">
      <c r="A98" s="177"/>
      <c r="B98" s="18" t="s">
        <v>19</v>
      </c>
      <c r="D98" s="284"/>
      <c r="E98" s="221"/>
      <c r="F98" s="222"/>
      <c r="G98" s="223"/>
      <c r="H98" s="223"/>
      <c r="I98" s="224">
        <v>1</v>
      </c>
      <c r="J98" s="225">
        <v>0</v>
      </c>
      <c r="K98" s="226"/>
      <c r="L98" s="225"/>
      <c r="M98" s="225"/>
      <c r="N98" s="361"/>
      <c r="O98" s="225"/>
      <c r="P98" s="225"/>
      <c r="Q98" s="225"/>
      <c r="R98" s="225"/>
      <c r="S98" s="225"/>
      <c r="T98" s="227"/>
    </row>
    <row r="99" spans="1:20" s="181" customFormat="1" ht="15" hidden="1" customHeight="1" x14ac:dyDescent="0.35">
      <c r="A99" s="177"/>
      <c r="B99" s="10" t="s">
        <v>20</v>
      </c>
      <c r="D99" s="284"/>
      <c r="E99" s="221"/>
      <c r="F99" s="222"/>
      <c r="G99" s="223"/>
      <c r="H99" s="223"/>
      <c r="I99" s="228">
        <v>-2</v>
      </c>
      <c r="J99" s="229">
        <v>-1</v>
      </c>
      <c r="K99" s="230"/>
      <c r="L99" s="229"/>
      <c r="M99" s="229"/>
      <c r="N99" s="362"/>
      <c r="O99" s="229"/>
      <c r="P99" s="229"/>
      <c r="Q99" s="229"/>
      <c r="R99" s="229"/>
      <c r="S99" s="229"/>
      <c r="T99" s="231"/>
    </row>
    <row r="100" spans="1:20" s="126" customFormat="1" ht="16" customHeight="1" x14ac:dyDescent="0.35">
      <c r="A100" s="125"/>
      <c r="B100" s="508" t="s">
        <v>204</v>
      </c>
      <c r="C100" s="509"/>
      <c r="D100" s="509"/>
      <c r="E100" s="509"/>
      <c r="F100" s="509"/>
      <c r="G100" s="509"/>
      <c r="H100" s="509"/>
      <c r="I100" s="509"/>
      <c r="J100" s="510"/>
      <c r="K100" s="509"/>
      <c r="L100" s="509"/>
      <c r="M100" s="509"/>
      <c r="N100" s="509"/>
      <c r="O100" s="509"/>
      <c r="P100" s="509"/>
      <c r="Q100" s="509"/>
      <c r="R100" s="509"/>
      <c r="S100" s="509"/>
      <c r="T100" s="511"/>
    </row>
    <row r="101" spans="1:20" ht="32.15" customHeight="1" x14ac:dyDescent="0.35">
      <c r="A101" s="12"/>
      <c r="B101" s="47" t="s">
        <v>147</v>
      </c>
      <c r="C101" s="316"/>
      <c r="D101" s="288"/>
      <c r="E101" s="139">
        <v>1892</v>
      </c>
      <c r="F101" s="25">
        <v>2331</v>
      </c>
      <c r="G101" s="394">
        <v>2580</v>
      </c>
      <c r="H101" s="381">
        <f>SUM(I101:U101)</f>
        <v>2086</v>
      </c>
      <c r="I101" s="251">
        <v>197</v>
      </c>
      <c r="J101" s="349">
        <v>193</v>
      </c>
      <c r="K101" s="100">
        <v>194</v>
      </c>
      <c r="L101" s="415">
        <v>186</v>
      </c>
      <c r="M101" s="349">
        <v>176</v>
      </c>
      <c r="N101" s="251">
        <v>170</v>
      </c>
      <c r="O101" s="8">
        <v>170</v>
      </c>
      <c r="P101" s="46">
        <v>169</v>
      </c>
      <c r="Q101" s="349">
        <v>164</v>
      </c>
      <c r="R101" s="349">
        <v>152</v>
      </c>
      <c r="S101" s="251">
        <v>153</v>
      </c>
      <c r="T101" s="380">
        <v>162</v>
      </c>
    </row>
    <row r="102" spans="1:20" ht="15" customHeight="1" x14ac:dyDescent="0.35">
      <c r="A102" s="12"/>
      <c r="B102" s="18" t="s">
        <v>148</v>
      </c>
      <c r="C102" s="307"/>
      <c r="D102" s="281"/>
      <c r="E102" s="132">
        <v>2033</v>
      </c>
      <c r="F102" s="26">
        <v>2125</v>
      </c>
      <c r="G102" s="394">
        <v>2206</v>
      </c>
      <c r="H102" s="381">
        <f>SUM(I102:U102)</f>
        <v>2003</v>
      </c>
      <c r="I102" s="251">
        <v>173</v>
      </c>
      <c r="J102" s="349">
        <v>177</v>
      </c>
      <c r="K102" s="349">
        <v>178</v>
      </c>
      <c r="L102" s="349">
        <v>174</v>
      </c>
      <c r="M102" s="349">
        <v>173</v>
      </c>
      <c r="N102" s="251">
        <v>170</v>
      </c>
      <c r="O102" s="236">
        <v>164</v>
      </c>
      <c r="P102" s="236">
        <v>163</v>
      </c>
      <c r="Q102" s="349">
        <v>162</v>
      </c>
      <c r="R102" s="349">
        <v>160</v>
      </c>
      <c r="S102" s="251">
        <v>156</v>
      </c>
      <c r="T102" s="380">
        <v>153</v>
      </c>
    </row>
    <row r="103" spans="1:20" ht="15" customHeight="1" x14ac:dyDescent="0.4">
      <c r="A103" s="12"/>
      <c r="B103" s="18" t="s">
        <v>149</v>
      </c>
      <c r="C103" s="181"/>
      <c r="E103" s="158">
        <v>0</v>
      </c>
      <c r="F103" s="159">
        <v>2487</v>
      </c>
      <c r="G103" s="534">
        <f t="shared" ref="G103:H103" si="9">SUM(I103:T103)</f>
        <v>6385</v>
      </c>
      <c r="H103" s="534">
        <f t="shared" si="9"/>
        <v>5968</v>
      </c>
      <c r="I103" s="382">
        <v>417</v>
      </c>
      <c r="J103" s="251">
        <v>414</v>
      </c>
      <c r="K103" s="349">
        <v>492</v>
      </c>
      <c r="L103" s="16">
        <v>524</v>
      </c>
      <c r="M103" s="236">
        <v>531</v>
      </c>
      <c r="N103" s="251">
        <v>525</v>
      </c>
      <c r="O103" s="16">
        <v>565</v>
      </c>
      <c r="P103" s="236">
        <v>575</v>
      </c>
      <c r="Q103" s="349">
        <v>561</v>
      </c>
      <c r="R103" s="349">
        <v>576</v>
      </c>
      <c r="S103" s="251">
        <v>602</v>
      </c>
      <c r="T103" s="380">
        <v>603</v>
      </c>
    </row>
    <row r="104" spans="1:20" ht="15" hidden="1" customHeight="1" x14ac:dyDescent="0.35">
      <c r="A104" s="12"/>
      <c r="B104" s="232" t="s">
        <v>19</v>
      </c>
      <c r="C104" s="317"/>
      <c r="E104" s="233"/>
      <c r="F104" s="234"/>
      <c r="G104" s="235"/>
      <c r="H104" s="235"/>
      <c r="I104" s="15">
        <v>13</v>
      </c>
      <c r="J104" s="8"/>
      <c r="K104" s="16"/>
      <c r="L104" s="16"/>
      <c r="M104" s="16"/>
      <c r="N104" s="358"/>
      <c r="O104" s="16"/>
      <c r="P104" s="16"/>
      <c r="Q104" s="16"/>
      <c r="R104" s="16"/>
      <c r="S104" s="236"/>
      <c r="T104" s="28"/>
    </row>
    <row r="105" spans="1:20" ht="15" hidden="1" customHeight="1" x14ac:dyDescent="0.35">
      <c r="A105" s="12"/>
      <c r="B105" s="237" t="s">
        <v>20</v>
      </c>
      <c r="C105" s="317"/>
      <c r="E105" s="238"/>
      <c r="F105" s="239"/>
      <c r="G105" s="240"/>
      <c r="H105" s="240"/>
      <c r="I105" s="20">
        <v>-208</v>
      </c>
      <c r="J105" s="21"/>
      <c r="K105" s="21"/>
      <c r="L105" s="21"/>
      <c r="M105" s="21"/>
      <c r="N105" s="41"/>
      <c r="O105" s="21"/>
      <c r="P105" s="21"/>
      <c r="Q105" s="21"/>
      <c r="R105" s="21"/>
      <c r="S105" s="241"/>
      <c r="T105" s="45"/>
    </row>
    <row r="106" spans="1:20" ht="15" hidden="1" customHeight="1" x14ac:dyDescent="0.35">
      <c r="A106" s="12"/>
      <c r="B106" s="512" t="s">
        <v>42</v>
      </c>
      <c r="C106" s="513"/>
      <c r="D106" s="513"/>
      <c r="E106" s="513"/>
      <c r="F106" s="513"/>
      <c r="G106" s="513"/>
      <c r="H106" s="513"/>
      <c r="I106" s="513"/>
      <c r="J106" s="513"/>
      <c r="K106" s="513"/>
      <c r="L106" s="513"/>
      <c r="M106" s="513"/>
      <c r="N106" s="513"/>
      <c r="O106" s="513"/>
      <c r="P106" s="513"/>
      <c r="Q106" s="513"/>
      <c r="R106" s="513"/>
      <c r="S106" s="513"/>
      <c r="T106" s="514"/>
    </row>
    <row r="107" spans="1:20" ht="15" hidden="1" customHeight="1" x14ac:dyDescent="0.35">
      <c r="A107" s="12"/>
      <c r="B107" s="242" t="s">
        <v>43</v>
      </c>
      <c r="C107" s="181"/>
      <c r="E107" s="233"/>
      <c r="F107" s="234"/>
      <c r="G107" s="243">
        <v>17</v>
      </c>
      <c r="H107" s="243">
        <v>17</v>
      </c>
      <c r="I107" s="100">
        <v>17</v>
      </c>
      <c r="J107" s="8"/>
      <c r="K107" s="8"/>
      <c r="L107" s="8"/>
      <c r="M107" s="8"/>
      <c r="N107" s="268"/>
      <c r="O107" s="8"/>
      <c r="P107" s="8"/>
      <c r="Q107" s="8"/>
      <c r="R107" s="8"/>
      <c r="S107" s="46"/>
      <c r="T107" s="28"/>
    </row>
    <row r="108" spans="1:20" ht="15" hidden="1" customHeight="1" x14ac:dyDescent="0.35">
      <c r="A108" s="12"/>
      <c r="B108" s="244" t="s">
        <v>44</v>
      </c>
      <c r="C108" s="318"/>
      <c r="D108" s="289"/>
      <c r="E108" s="238"/>
      <c r="F108" s="239"/>
      <c r="G108" s="245">
        <v>23</v>
      </c>
      <c r="H108" s="245">
        <v>23</v>
      </c>
      <c r="I108" s="246">
        <v>23</v>
      </c>
      <c r="J108" s="247"/>
      <c r="K108" s="247"/>
      <c r="L108" s="247"/>
      <c r="M108" s="247"/>
      <c r="N108" s="363"/>
      <c r="O108" s="247"/>
      <c r="P108" s="247"/>
      <c r="Q108" s="247"/>
      <c r="R108" s="247"/>
      <c r="S108" s="248"/>
      <c r="T108" s="249"/>
    </row>
    <row r="109" spans="1:20" s="126" customFormat="1" ht="12" customHeight="1" x14ac:dyDescent="0.35">
      <c r="A109" s="125"/>
      <c r="B109" s="496" t="s">
        <v>27</v>
      </c>
      <c r="C109" s="441"/>
      <c r="D109" s="441"/>
      <c r="E109" s="441"/>
      <c r="F109" s="441"/>
      <c r="G109" s="441"/>
      <c r="H109" s="441"/>
      <c r="I109" s="441"/>
      <c r="J109" s="441"/>
      <c r="K109" s="441"/>
      <c r="L109" s="441"/>
      <c r="M109" s="441"/>
      <c r="N109" s="441"/>
      <c r="O109" s="441"/>
      <c r="P109" s="441"/>
      <c r="Q109" s="441"/>
      <c r="R109" s="441"/>
      <c r="S109" s="441"/>
      <c r="T109" s="497"/>
    </row>
    <row r="110" spans="1:20" s="181" customFormat="1" ht="24" customHeight="1" x14ac:dyDescent="0.35">
      <c r="A110" s="177"/>
      <c r="B110" s="5" t="s">
        <v>150</v>
      </c>
      <c r="C110" s="306"/>
      <c r="D110" s="280"/>
      <c r="E110" s="142">
        <v>2025</v>
      </c>
      <c r="F110" s="143">
        <v>2175</v>
      </c>
      <c r="G110" s="391">
        <v>1299</v>
      </c>
      <c r="H110" s="6">
        <f t="shared" ref="H110:H118" si="10">SUM(J110:U110)</f>
        <v>1472</v>
      </c>
      <c r="I110" s="178">
        <v>338</v>
      </c>
      <c r="J110" s="179">
        <v>366</v>
      </c>
      <c r="K110" s="179">
        <v>242</v>
      </c>
      <c r="L110" s="179">
        <v>139</v>
      </c>
      <c r="M110" s="179">
        <v>59</v>
      </c>
      <c r="N110" s="265">
        <v>69</v>
      </c>
      <c r="O110" s="179">
        <v>128</v>
      </c>
      <c r="P110" s="179">
        <v>86</v>
      </c>
      <c r="Q110" s="179">
        <v>69</v>
      </c>
      <c r="R110" s="179">
        <v>90</v>
      </c>
      <c r="S110" s="179">
        <v>118</v>
      </c>
      <c r="T110" s="180">
        <v>106</v>
      </c>
    </row>
    <row r="111" spans="1:20" s="181" customFormat="1" ht="24" customHeight="1" x14ac:dyDescent="0.35">
      <c r="A111" s="177"/>
      <c r="B111" s="193" t="s">
        <v>151</v>
      </c>
      <c r="C111" s="314"/>
      <c r="D111" s="282"/>
      <c r="E111" s="142">
        <v>1490</v>
      </c>
      <c r="F111" s="143">
        <v>1583</v>
      </c>
      <c r="G111" s="396">
        <v>799</v>
      </c>
      <c r="H111" s="19">
        <f t="shared" si="10"/>
        <v>790</v>
      </c>
      <c r="I111" s="178">
        <v>271</v>
      </c>
      <c r="J111" s="179">
        <v>295</v>
      </c>
      <c r="K111" s="179">
        <v>165</v>
      </c>
      <c r="L111" s="179">
        <v>19</v>
      </c>
      <c r="M111" s="179">
        <v>9</v>
      </c>
      <c r="N111" s="265">
        <v>25</v>
      </c>
      <c r="O111" s="179">
        <v>80</v>
      </c>
      <c r="P111" s="179">
        <v>31</v>
      </c>
      <c r="Q111" s="179">
        <v>28</v>
      </c>
      <c r="R111" s="179">
        <v>42</v>
      </c>
      <c r="S111" s="179">
        <v>48</v>
      </c>
      <c r="T111" s="180">
        <v>48</v>
      </c>
    </row>
    <row r="112" spans="1:20" s="181" customFormat="1" ht="24" customHeight="1" x14ac:dyDescent="0.35">
      <c r="A112" s="177"/>
      <c r="B112" s="193" t="s">
        <v>152</v>
      </c>
      <c r="C112" s="314"/>
      <c r="D112" s="282"/>
      <c r="E112" s="142">
        <v>24</v>
      </c>
      <c r="F112" s="143">
        <v>26</v>
      </c>
      <c r="G112" s="396">
        <v>8</v>
      </c>
      <c r="H112" s="19">
        <f>SUM(J112:U112)</f>
        <v>0</v>
      </c>
      <c r="I112" s="178">
        <v>0</v>
      </c>
      <c r="J112" s="179">
        <v>0</v>
      </c>
      <c r="K112" s="179">
        <v>0</v>
      </c>
      <c r="L112" s="179">
        <v>0</v>
      </c>
      <c r="M112" s="179">
        <v>0</v>
      </c>
      <c r="N112" s="179">
        <v>0</v>
      </c>
      <c r="O112" s="179">
        <v>0</v>
      </c>
      <c r="P112" s="179">
        <v>0</v>
      </c>
      <c r="Q112" s="179">
        <v>0</v>
      </c>
      <c r="R112" s="179">
        <v>0</v>
      </c>
      <c r="S112" s="179">
        <v>0</v>
      </c>
      <c r="T112" s="180">
        <v>0</v>
      </c>
    </row>
    <row r="113" spans="1:20" s="181" customFormat="1" ht="24" customHeight="1" x14ac:dyDescent="0.35">
      <c r="A113" s="177"/>
      <c r="B113" s="193" t="s">
        <v>153</v>
      </c>
      <c r="C113" s="314"/>
      <c r="D113" s="282"/>
      <c r="E113" s="142">
        <v>5</v>
      </c>
      <c r="F113" s="143">
        <v>7</v>
      </c>
      <c r="G113" s="396">
        <v>2</v>
      </c>
      <c r="H113" s="19">
        <f t="shared" si="10"/>
        <v>1</v>
      </c>
      <c r="I113" s="337">
        <v>0</v>
      </c>
      <c r="J113" s="179">
        <v>0</v>
      </c>
      <c r="K113" s="179">
        <v>0</v>
      </c>
      <c r="L113" s="179">
        <v>0</v>
      </c>
      <c r="M113" s="179">
        <v>0</v>
      </c>
      <c r="N113" s="179">
        <v>0</v>
      </c>
      <c r="O113" s="179">
        <v>0</v>
      </c>
      <c r="P113" s="179">
        <v>0</v>
      </c>
      <c r="Q113" s="179">
        <v>0</v>
      </c>
      <c r="R113" s="179">
        <v>1</v>
      </c>
      <c r="S113" s="179">
        <v>0</v>
      </c>
      <c r="T113" s="180">
        <v>0</v>
      </c>
    </row>
    <row r="114" spans="1:20" s="181" customFormat="1" ht="24" customHeight="1" x14ac:dyDescent="0.35">
      <c r="A114" s="177"/>
      <c r="B114" s="193" t="s">
        <v>154</v>
      </c>
      <c r="C114" s="314"/>
      <c r="D114" s="282"/>
      <c r="E114" s="142">
        <v>266</v>
      </c>
      <c r="F114" s="143">
        <v>307</v>
      </c>
      <c r="G114" s="396">
        <v>336</v>
      </c>
      <c r="H114" s="19">
        <f t="shared" si="10"/>
        <v>551</v>
      </c>
      <c r="I114" s="138">
        <v>42</v>
      </c>
      <c r="J114" s="179">
        <v>42</v>
      </c>
      <c r="K114" s="179">
        <v>71</v>
      </c>
      <c r="L114" s="179">
        <v>77</v>
      </c>
      <c r="M114" s="179">
        <v>46</v>
      </c>
      <c r="N114" s="265">
        <v>41</v>
      </c>
      <c r="O114" s="179">
        <v>44</v>
      </c>
      <c r="P114" s="179">
        <v>45</v>
      </c>
      <c r="Q114" s="179">
        <v>34</v>
      </c>
      <c r="R114" s="179">
        <v>44</v>
      </c>
      <c r="S114" s="179">
        <v>57</v>
      </c>
      <c r="T114" s="180">
        <v>50</v>
      </c>
    </row>
    <row r="115" spans="1:20" s="181" customFormat="1" ht="24" customHeight="1" x14ac:dyDescent="0.35">
      <c r="A115" s="177"/>
      <c r="B115" s="193" t="s">
        <v>155</v>
      </c>
      <c r="C115" s="314"/>
      <c r="D115" s="282"/>
      <c r="E115" s="142">
        <v>39</v>
      </c>
      <c r="F115" s="143">
        <v>41</v>
      </c>
      <c r="G115" s="396">
        <v>58</v>
      </c>
      <c r="H115" s="19">
        <f t="shared" si="10"/>
        <v>37</v>
      </c>
      <c r="I115" s="178">
        <v>3</v>
      </c>
      <c r="J115" s="179">
        <v>11</v>
      </c>
      <c r="K115" s="179">
        <v>5</v>
      </c>
      <c r="L115" s="179">
        <v>5</v>
      </c>
      <c r="M115" s="179">
        <v>1</v>
      </c>
      <c r="N115" s="265">
        <v>1</v>
      </c>
      <c r="O115" s="179">
        <v>1</v>
      </c>
      <c r="P115" s="179">
        <v>2</v>
      </c>
      <c r="Q115" s="179">
        <v>3</v>
      </c>
      <c r="R115" s="179">
        <v>0</v>
      </c>
      <c r="S115" s="179">
        <v>3</v>
      </c>
      <c r="T115" s="180">
        <v>5</v>
      </c>
    </row>
    <row r="116" spans="1:20" s="181" customFormat="1" ht="24" customHeight="1" x14ac:dyDescent="0.35">
      <c r="A116" s="177"/>
      <c r="B116" s="193" t="s">
        <v>156</v>
      </c>
      <c r="C116" s="314"/>
      <c r="D116" s="282"/>
      <c r="E116" s="142">
        <v>34</v>
      </c>
      <c r="F116" s="143">
        <v>37</v>
      </c>
      <c r="G116" s="396">
        <v>36</v>
      </c>
      <c r="H116" s="19">
        <f t="shared" si="10"/>
        <v>42</v>
      </c>
      <c r="I116" s="178">
        <v>7</v>
      </c>
      <c r="J116" s="138">
        <v>5</v>
      </c>
      <c r="K116" s="179">
        <v>0</v>
      </c>
      <c r="L116" s="179">
        <v>12</v>
      </c>
      <c r="M116" s="179">
        <v>0</v>
      </c>
      <c r="N116" s="179">
        <v>0</v>
      </c>
      <c r="O116" s="179">
        <v>2</v>
      </c>
      <c r="P116" s="179">
        <v>7</v>
      </c>
      <c r="Q116" s="179">
        <v>4</v>
      </c>
      <c r="R116" s="179">
        <v>2</v>
      </c>
      <c r="S116" s="179">
        <v>8</v>
      </c>
      <c r="T116" s="180">
        <v>2</v>
      </c>
    </row>
    <row r="117" spans="1:20" s="181" customFormat="1" ht="24" customHeight="1" x14ac:dyDescent="0.35">
      <c r="A117" s="177"/>
      <c r="B117" s="191" t="s">
        <v>157</v>
      </c>
      <c r="C117" s="309"/>
      <c r="D117" s="283"/>
      <c r="E117" s="142">
        <v>130</v>
      </c>
      <c r="F117" s="143">
        <v>133</v>
      </c>
      <c r="G117" s="396">
        <v>37</v>
      </c>
      <c r="H117" s="19">
        <f>SUM(J117:U117)</f>
        <v>16</v>
      </c>
      <c r="I117" s="178">
        <v>5</v>
      </c>
      <c r="J117" s="179">
        <v>4</v>
      </c>
      <c r="K117" s="179">
        <v>1</v>
      </c>
      <c r="L117" s="179">
        <v>2</v>
      </c>
      <c r="M117" s="179">
        <v>1</v>
      </c>
      <c r="N117" s="265">
        <v>2</v>
      </c>
      <c r="O117" s="179">
        <v>1</v>
      </c>
      <c r="P117" s="179">
        <v>1</v>
      </c>
      <c r="Q117" s="179">
        <v>0</v>
      </c>
      <c r="R117" s="179">
        <v>1</v>
      </c>
      <c r="S117" s="179">
        <v>2</v>
      </c>
      <c r="T117" s="180">
        <v>1</v>
      </c>
    </row>
    <row r="118" spans="1:20" s="181" customFormat="1" ht="24" customHeight="1" x14ac:dyDescent="0.35">
      <c r="A118" s="177"/>
      <c r="B118" s="190" t="s">
        <v>158</v>
      </c>
      <c r="C118" s="319"/>
      <c r="D118" s="290"/>
      <c r="E118" s="142">
        <v>37</v>
      </c>
      <c r="F118" s="143">
        <v>41</v>
      </c>
      <c r="G118" s="397">
        <v>28</v>
      </c>
      <c r="H118" s="38">
        <f t="shared" si="10"/>
        <v>53</v>
      </c>
      <c r="I118" s="178">
        <v>10</v>
      </c>
      <c r="J118" s="179">
        <v>9</v>
      </c>
      <c r="K118" s="179" t="s">
        <v>41</v>
      </c>
      <c r="L118" s="179">
        <v>24</v>
      </c>
      <c r="M118" s="179"/>
      <c r="N118" s="265">
        <v>13</v>
      </c>
      <c r="O118" s="179">
        <v>7</v>
      </c>
      <c r="P118" s="179">
        <v>0</v>
      </c>
      <c r="Q118" s="179">
        <v>0</v>
      </c>
      <c r="R118" s="179">
        <v>0</v>
      </c>
      <c r="S118" s="179">
        <v>0</v>
      </c>
      <c r="T118" s="180">
        <v>0</v>
      </c>
    </row>
    <row r="119" spans="1:20" s="126" customFormat="1" ht="16" customHeight="1" x14ac:dyDescent="0.35">
      <c r="A119" s="125"/>
      <c r="B119" s="498" t="s">
        <v>102</v>
      </c>
      <c r="C119" s="500"/>
      <c r="D119" s="500"/>
      <c r="E119" s="500"/>
      <c r="F119" s="500"/>
      <c r="G119" s="500"/>
      <c r="H119" s="500"/>
      <c r="I119" s="500"/>
      <c r="J119" s="500"/>
      <c r="K119" s="500"/>
      <c r="L119" s="500"/>
      <c r="M119" s="500"/>
      <c r="N119" s="500"/>
      <c r="O119" s="500"/>
      <c r="P119" s="500"/>
      <c r="Q119" s="500"/>
      <c r="R119" s="500"/>
      <c r="S119" s="500"/>
      <c r="T119" s="501"/>
    </row>
    <row r="120" spans="1:20" s="126" customFormat="1" ht="16" customHeight="1" x14ac:dyDescent="0.35">
      <c r="A120" s="125"/>
      <c r="B120" s="505"/>
      <c r="C120" s="506"/>
      <c r="D120" s="506"/>
      <c r="E120" s="506"/>
      <c r="F120" s="506"/>
      <c r="G120" s="506"/>
      <c r="H120" s="506"/>
      <c r="I120" s="506"/>
      <c r="J120" s="506"/>
      <c r="K120" s="506"/>
      <c r="L120" s="506"/>
      <c r="M120" s="506"/>
      <c r="N120" s="506"/>
      <c r="O120" s="506"/>
      <c r="P120" s="506"/>
      <c r="Q120" s="506"/>
      <c r="R120" s="506"/>
      <c r="S120" s="506"/>
      <c r="T120" s="507"/>
    </row>
    <row r="121" spans="1:20" ht="15" customHeight="1" x14ac:dyDescent="0.35">
      <c r="A121" s="12"/>
      <c r="B121" s="18" t="s">
        <v>159</v>
      </c>
      <c r="C121" s="181"/>
      <c r="D121" s="325" t="s">
        <v>205</v>
      </c>
      <c r="E121" s="344">
        <v>120.41666666666667</v>
      </c>
      <c r="F121" s="344">
        <v>102</v>
      </c>
      <c r="G121" s="327">
        <v>83.083333333333329</v>
      </c>
      <c r="H121" s="147">
        <f>AVERAGE(I121:T121)</f>
        <v>62.916666666666664</v>
      </c>
      <c r="I121" s="48">
        <v>83</v>
      </c>
      <c r="J121" s="260">
        <v>80</v>
      </c>
      <c r="K121" s="49">
        <v>65</v>
      </c>
      <c r="L121" s="49">
        <v>63</v>
      </c>
      <c r="M121" s="49">
        <v>63</v>
      </c>
      <c r="N121" s="4">
        <v>62</v>
      </c>
      <c r="O121" s="49">
        <v>63</v>
      </c>
      <c r="P121" s="49">
        <v>55</v>
      </c>
      <c r="Q121" s="49">
        <v>56</v>
      </c>
      <c r="R121" s="49">
        <v>56</v>
      </c>
      <c r="S121" s="49">
        <v>54</v>
      </c>
      <c r="T121" s="51">
        <v>55</v>
      </c>
    </row>
    <row r="122" spans="1:20" ht="15" customHeight="1" x14ac:dyDescent="0.35">
      <c r="A122" s="12"/>
      <c r="B122" s="18" t="s">
        <v>160</v>
      </c>
      <c r="C122" s="181"/>
      <c r="D122" s="325" t="s">
        <v>205</v>
      </c>
      <c r="E122" s="335">
        <v>33.75</v>
      </c>
      <c r="F122" s="344">
        <v>12</v>
      </c>
      <c r="G122" s="327">
        <v>23.583333333333332</v>
      </c>
      <c r="H122" s="147">
        <f>AVERAGE(I122:T122)</f>
        <v>31.833333333333332</v>
      </c>
      <c r="I122" s="48">
        <v>32</v>
      </c>
      <c r="J122" s="48">
        <v>32</v>
      </c>
      <c r="K122" s="49">
        <v>30</v>
      </c>
      <c r="L122" s="49">
        <v>32</v>
      </c>
      <c r="M122" s="49">
        <v>32</v>
      </c>
      <c r="N122" s="4">
        <v>32</v>
      </c>
      <c r="O122" s="49">
        <v>32</v>
      </c>
      <c r="P122" s="49">
        <v>32</v>
      </c>
      <c r="Q122" s="49">
        <v>32</v>
      </c>
      <c r="R122" s="49">
        <v>32</v>
      </c>
      <c r="S122" s="49">
        <v>32</v>
      </c>
      <c r="T122" s="51">
        <v>32</v>
      </c>
    </row>
    <row r="123" spans="1:20" ht="33" customHeight="1" x14ac:dyDescent="0.4">
      <c r="A123" s="12"/>
      <c r="B123" s="30" t="s">
        <v>161</v>
      </c>
      <c r="D123" s="325" t="s">
        <v>205</v>
      </c>
      <c r="E123" s="335">
        <v>1330.2857142857142</v>
      </c>
      <c r="F123" s="344">
        <v>103.16666666666667</v>
      </c>
      <c r="G123" s="327">
        <f t="shared" ref="G123" si="11">AVERAGE(I123:T123)</f>
        <v>223.625</v>
      </c>
      <c r="H123" s="147">
        <f>AVERAGE(I123:T123)</f>
        <v>223.625</v>
      </c>
      <c r="I123" s="382" t="s">
        <v>222</v>
      </c>
      <c r="J123" s="382" t="s">
        <v>222</v>
      </c>
      <c r="K123" s="382" t="s">
        <v>222</v>
      </c>
      <c r="L123" s="382" t="s">
        <v>222</v>
      </c>
      <c r="M123" s="382">
        <v>121</v>
      </c>
      <c r="N123" s="382">
        <v>185</v>
      </c>
      <c r="O123" s="382">
        <v>255</v>
      </c>
      <c r="P123" s="382">
        <v>280</v>
      </c>
      <c r="Q123" s="382">
        <v>312</v>
      </c>
      <c r="R123" s="382">
        <v>358</v>
      </c>
      <c r="S123" s="382">
        <v>166</v>
      </c>
      <c r="T123" s="382">
        <v>112</v>
      </c>
    </row>
    <row r="124" spans="1:20" ht="19.5" hidden="1" customHeight="1" x14ac:dyDescent="0.35">
      <c r="A124" s="12"/>
      <c r="B124" s="193" t="s">
        <v>107</v>
      </c>
      <c r="C124" s="311"/>
      <c r="E124" s="165">
        <v>0</v>
      </c>
      <c r="F124" s="166">
        <v>403</v>
      </c>
      <c r="G124" s="147">
        <f t="shared" ref="G124:H124" si="12">AVERAGEIF(I124:T124,"&lt;&gt;0")</f>
        <v>74.400000000000006</v>
      </c>
      <c r="H124" s="147">
        <f t="shared" si="12"/>
        <v>60.5</v>
      </c>
      <c r="I124" s="48">
        <v>130</v>
      </c>
      <c r="J124" s="260" t="s">
        <v>41</v>
      </c>
      <c r="K124" s="49">
        <v>73</v>
      </c>
      <c r="L124" s="49">
        <v>90</v>
      </c>
      <c r="M124" s="49">
        <v>30</v>
      </c>
      <c r="N124" s="364">
        <v>49</v>
      </c>
      <c r="O124" s="49">
        <v>0</v>
      </c>
      <c r="P124" s="49">
        <v>0</v>
      </c>
      <c r="Q124" s="49">
        <v>0</v>
      </c>
      <c r="R124" s="49">
        <v>0</v>
      </c>
      <c r="S124" s="49">
        <v>0</v>
      </c>
      <c r="T124" s="51">
        <v>0</v>
      </c>
    </row>
    <row r="125" spans="1:20" ht="19.5" hidden="1" customHeight="1" x14ac:dyDescent="0.35">
      <c r="A125" s="12"/>
      <c r="B125" s="192" t="s">
        <v>108</v>
      </c>
      <c r="C125" s="311"/>
      <c r="E125" s="165">
        <v>0</v>
      </c>
      <c r="F125" s="166">
        <v>2006</v>
      </c>
      <c r="G125" s="148">
        <f t="shared" ref="G125:H125" si="13">SUM(I125:T125)</f>
        <v>0</v>
      </c>
      <c r="H125" s="148">
        <f t="shared" si="13"/>
        <v>0</v>
      </c>
      <c r="I125" s="48">
        <v>0</v>
      </c>
      <c r="J125" s="261" t="s">
        <v>41</v>
      </c>
      <c r="K125" s="52" t="s">
        <v>41</v>
      </c>
      <c r="L125" s="52" t="s">
        <v>41</v>
      </c>
      <c r="M125" s="52" t="s">
        <v>41</v>
      </c>
      <c r="N125" s="365" t="s">
        <v>41</v>
      </c>
      <c r="O125" s="52">
        <v>0</v>
      </c>
      <c r="P125" s="52">
        <v>0</v>
      </c>
      <c r="Q125" s="52">
        <v>0</v>
      </c>
      <c r="R125" s="52">
        <v>0</v>
      </c>
      <c r="S125" s="52">
        <v>0</v>
      </c>
      <c r="T125" s="51">
        <v>0</v>
      </c>
    </row>
    <row r="126" spans="1:20" s="126" customFormat="1" ht="16" customHeight="1" x14ac:dyDescent="0.35">
      <c r="A126" s="125"/>
      <c r="B126" s="484" t="s">
        <v>165</v>
      </c>
      <c r="C126" s="485"/>
      <c r="D126" s="485"/>
      <c r="E126" s="485"/>
      <c r="F126" s="485"/>
      <c r="G126" s="485"/>
      <c r="H126" s="485"/>
      <c r="I126" s="485"/>
      <c r="J126" s="485"/>
      <c r="K126" s="485"/>
      <c r="L126" s="485"/>
      <c r="M126" s="485"/>
      <c r="N126" s="485"/>
      <c r="O126" s="485"/>
      <c r="P126" s="485"/>
      <c r="Q126" s="485"/>
      <c r="R126" s="485"/>
      <c r="S126" s="485"/>
      <c r="T126" s="486"/>
    </row>
    <row r="127" spans="1:20" ht="15" customHeight="1" x14ac:dyDescent="0.35">
      <c r="A127" s="12"/>
      <c r="B127" s="32" t="s">
        <v>210</v>
      </c>
      <c r="E127" s="167">
        <v>0</v>
      </c>
      <c r="F127" s="168">
        <v>222633</v>
      </c>
      <c r="G127" s="538">
        <f t="shared" ref="G127:H130" si="14">SUM(I127:T127)</f>
        <v>211820</v>
      </c>
      <c r="H127" s="538">
        <f t="shared" si="14"/>
        <v>194904</v>
      </c>
      <c r="I127" s="33">
        <v>16916</v>
      </c>
      <c r="J127" s="34">
        <v>16927</v>
      </c>
      <c r="K127" s="34">
        <v>16957</v>
      </c>
      <c r="L127" s="34">
        <v>17531</v>
      </c>
      <c r="M127" s="34">
        <v>18061</v>
      </c>
      <c r="N127" s="8">
        <v>18477</v>
      </c>
      <c r="O127" s="34">
        <v>18289</v>
      </c>
      <c r="P127" s="34">
        <v>18265</v>
      </c>
      <c r="Q127" s="34">
        <v>19231</v>
      </c>
      <c r="R127" s="34">
        <v>17683</v>
      </c>
      <c r="S127" s="34">
        <v>16968</v>
      </c>
      <c r="T127" s="53">
        <v>16515</v>
      </c>
    </row>
    <row r="128" spans="1:20" ht="15" customHeight="1" x14ac:dyDescent="0.35">
      <c r="A128" s="12"/>
      <c r="B128" s="30" t="s">
        <v>162</v>
      </c>
      <c r="E128" s="167">
        <v>0</v>
      </c>
      <c r="F128" s="168">
        <v>412422</v>
      </c>
      <c r="G128" s="538">
        <f t="shared" si="14"/>
        <v>418269</v>
      </c>
      <c r="H128" s="538">
        <f t="shared" si="14"/>
        <v>384610</v>
      </c>
      <c r="I128" s="36">
        <v>33659</v>
      </c>
      <c r="J128" s="37">
        <v>33821</v>
      </c>
      <c r="K128" s="37">
        <v>34007</v>
      </c>
      <c r="L128" s="37">
        <v>35050</v>
      </c>
      <c r="M128" s="37">
        <v>36124</v>
      </c>
      <c r="N128" s="16">
        <v>36818</v>
      </c>
      <c r="O128" s="34">
        <v>36262</v>
      </c>
      <c r="P128" s="37">
        <v>35976</v>
      </c>
      <c r="Q128" s="37">
        <v>35640</v>
      </c>
      <c r="R128" s="410">
        <v>34583</v>
      </c>
      <c r="S128" s="37">
        <v>33432</v>
      </c>
      <c r="T128" s="35">
        <v>32897</v>
      </c>
    </row>
    <row r="129" spans="1:20" ht="15" hidden="1" customHeight="1" x14ac:dyDescent="0.35">
      <c r="A129" s="12"/>
      <c r="B129" s="31" t="s">
        <v>163</v>
      </c>
      <c r="E129" s="167">
        <v>0</v>
      </c>
      <c r="F129" s="168">
        <v>0</v>
      </c>
      <c r="G129" s="169">
        <f t="shared" si="14"/>
        <v>0</v>
      </c>
      <c r="H129" s="169">
        <f t="shared" si="14"/>
        <v>0</v>
      </c>
      <c r="I129" s="54"/>
      <c r="J129" s="44"/>
      <c r="K129" s="44"/>
      <c r="L129" s="44"/>
      <c r="M129" s="44"/>
      <c r="N129" s="360"/>
      <c r="O129" s="34"/>
      <c r="P129" s="44"/>
      <c r="Q129" s="44"/>
      <c r="R129" s="44"/>
      <c r="S129" s="44"/>
      <c r="T129" s="55"/>
    </row>
    <row r="130" spans="1:20" ht="15" customHeight="1" x14ac:dyDescent="0.35">
      <c r="A130" s="12"/>
      <c r="B130" s="31" t="s">
        <v>164</v>
      </c>
      <c r="E130" s="167">
        <v>0</v>
      </c>
      <c r="F130" s="168">
        <v>56104956.780000001</v>
      </c>
      <c r="G130" s="538">
        <f t="shared" si="14"/>
        <v>75825337</v>
      </c>
      <c r="H130" s="538">
        <f t="shared" si="14"/>
        <v>69726397</v>
      </c>
      <c r="I130" s="56">
        <v>6098940</v>
      </c>
      <c r="J130" s="57">
        <v>6191802</v>
      </c>
      <c r="K130" s="57">
        <v>4994112</v>
      </c>
      <c r="L130" s="57">
        <v>6534036</v>
      </c>
      <c r="M130" s="57">
        <v>6768520</v>
      </c>
      <c r="N130" s="360">
        <v>6866259</v>
      </c>
      <c r="O130" s="34">
        <v>6655309</v>
      </c>
      <c r="P130" s="57">
        <v>6611142</v>
      </c>
      <c r="Q130" s="57">
        <v>6608419</v>
      </c>
      <c r="R130" s="57">
        <v>6378608</v>
      </c>
      <c r="S130" s="57">
        <v>6158487</v>
      </c>
      <c r="T130" s="59">
        <v>5959703</v>
      </c>
    </row>
    <row r="131" spans="1:20" s="126" customFormat="1" ht="16" customHeight="1" x14ac:dyDescent="0.35">
      <c r="A131" s="125"/>
      <c r="B131" s="484" t="s">
        <v>206</v>
      </c>
      <c r="C131" s="485"/>
      <c r="D131" s="485"/>
      <c r="E131" s="485"/>
      <c r="F131" s="485"/>
      <c r="G131" s="485"/>
      <c r="H131" s="485"/>
      <c r="I131" s="485"/>
      <c r="J131" s="485"/>
      <c r="K131" s="485"/>
      <c r="L131" s="485"/>
      <c r="M131" s="485"/>
      <c r="N131" s="485"/>
      <c r="O131" s="485"/>
      <c r="P131" s="485"/>
      <c r="Q131" s="485"/>
      <c r="R131" s="485"/>
      <c r="S131" s="485"/>
      <c r="T131" s="486"/>
    </row>
    <row r="132" spans="1:20" ht="19.5" customHeight="1" x14ac:dyDescent="0.4">
      <c r="A132" s="12"/>
      <c r="B132" s="32" t="s">
        <v>207</v>
      </c>
      <c r="E132" s="156">
        <v>0</v>
      </c>
      <c r="F132" s="157">
        <v>559666</v>
      </c>
      <c r="G132" s="539">
        <f t="shared" ref="G132:H136" si="15">SUM(I132:T132)</f>
        <v>908833</v>
      </c>
      <c r="H132" s="539">
        <f t="shared" si="15"/>
        <v>833340</v>
      </c>
      <c r="I132" s="250">
        <v>75493</v>
      </c>
      <c r="J132" s="34">
        <v>75737</v>
      </c>
      <c r="K132" s="256">
        <v>75568</v>
      </c>
      <c r="L132" s="256">
        <v>75676</v>
      </c>
      <c r="M132" s="256">
        <v>75491</v>
      </c>
      <c r="N132" s="8">
        <v>75391</v>
      </c>
      <c r="O132" s="34">
        <v>74993</v>
      </c>
      <c r="P132" s="34">
        <v>73808</v>
      </c>
      <c r="Q132" s="34">
        <v>76780</v>
      </c>
      <c r="R132" s="50">
        <v>76647</v>
      </c>
      <c r="S132" s="439">
        <v>76645</v>
      </c>
      <c r="T132" s="9">
        <v>76604</v>
      </c>
    </row>
    <row r="133" spans="1:20" ht="12.65" hidden="1" customHeight="1" x14ac:dyDescent="0.35">
      <c r="A133" s="12"/>
      <c r="B133" s="30" t="s">
        <v>166</v>
      </c>
      <c r="E133" s="156">
        <v>0</v>
      </c>
      <c r="F133" s="157">
        <v>12670</v>
      </c>
      <c r="G133" s="170">
        <f t="shared" si="15"/>
        <v>0</v>
      </c>
      <c r="H133" s="170">
        <f t="shared" si="15"/>
        <v>0</v>
      </c>
      <c r="I133" s="20"/>
      <c r="J133" s="21"/>
      <c r="K133" s="21"/>
      <c r="L133" s="21"/>
      <c r="M133" s="21"/>
      <c r="N133" s="21"/>
      <c r="O133" s="8"/>
      <c r="P133" s="21"/>
      <c r="Q133" s="21"/>
      <c r="R133" s="21"/>
      <c r="S133" s="21"/>
      <c r="T133" s="17"/>
    </row>
    <row r="134" spans="1:20" ht="15" customHeight="1" x14ac:dyDescent="0.35">
      <c r="A134" s="12"/>
      <c r="B134" s="31" t="s">
        <v>167</v>
      </c>
      <c r="E134" s="156">
        <v>0</v>
      </c>
      <c r="F134" s="157">
        <v>7734</v>
      </c>
      <c r="G134" s="539">
        <f t="shared" si="15"/>
        <v>7545</v>
      </c>
      <c r="H134" s="539">
        <f t="shared" si="15"/>
        <v>6939</v>
      </c>
      <c r="I134" s="20">
        <v>606</v>
      </c>
      <c r="J134" s="21">
        <v>612</v>
      </c>
      <c r="K134" s="407">
        <v>622</v>
      </c>
      <c r="L134" s="21">
        <v>624</v>
      </c>
      <c r="M134" s="21">
        <v>636</v>
      </c>
      <c r="N134" s="21">
        <v>649</v>
      </c>
      <c r="O134" s="8">
        <v>634</v>
      </c>
      <c r="P134" s="21">
        <v>630</v>
      </c>
      <c r="Q134" s="21">
        <v>629</v>
      </c>
      <c r="R134" s="21">
        <v>624</v>
      </c>
      <c r="S134" s="21">
        <v>636</v>
      </c>
      <c r="T134" s="22">
        <v>643</v>
      </c>
    </row>
    <row r="135" spans="1:20" ht="37.5" x14ac:dyDescent="0.35">
      <c r="A135" s="12"/>
      <c r="B135" s="304" t="s">
        <v>240</v>
      </c>
      <c r="C135" s="320"/>
      <c r="D135" s="285"/>
      <c r="E135" s="156">
        <v>0</v>
      </c>
      <c r="F135" s="157">
        <v>1.8613464253625978</v>
      </c>
      <c r="G135" s="539">
        <f t="shared" si="15"/>
        <v>2.8098894292390053</v>
      </c>
      <c r="H135" s="539">
        <f t="shared" si="15"/>
        <v>2.5765471014270558</v>
      </c>
      <c r="I135" s="267">
        <f>SUM(I132:I134)/U179</f>
        <v>0.23334232781195</v>
      </c>
      <c r="J135" s="267">
        <f>SUM(J132:J134)/U179</f>
        <v>0.23410890269405077</v>
      </c>
      <c r="K135" s="267">
        <f>SUM(K132:K134)/U179</f>
        <v>0.23362136106903467</v>
      </c>
      <c r="L135" s="267">
        <f>SUM(L132:L134)/U179</f>
        <v>0.23395865401715901</v>
      </c>
      <c r="M135" s="267">
        <f>SUM(M132:M134)/U179</f>
        <v>0.23342818419874528</v>
      </c>
      <c r="N135" s="267">
        <f>SUM(N132:N134)/U179</f>
        <v>0.2331614161397742</v>
      </c>
      <c r="O135" s="267">
        <f>SUM(O132:O134)/U179</f>
        <v>0.23189503443454371</v>
      </c>
      <c r="P135" s="267">
        <f>SUM(P132:P134)/U179</f>
        <v>0.22824920429527237</v>
      </c>
      <c r="Q135" s="267">
        <f>SUM(Q132:Q134)/U179</f>
        <v>0.23735918019415808</v>
      </c>
      <c r="R135" s="436">
        <f>SUM(R132:R134)/U179</f>
        <v>0.23693603085923845</v>
      </c>
      <c r="S135" s="436">
        <f>SUM(S132:S134)/U179</f>
        <v>0.23696669385452249</v>
      </c>
      <c r="T135" s="436">
        <f>SUM(T132:T134)/U179</f>
        <v>0.23686243967055678</v>
      </c>
    </row>
    <row r="136" spans="1:20" ht="27" customHeight="1" x14ac:dyDescent="0.35">
      <c r="A136" s="12"/>
      <c r="B136" s="305" t="s">
        <v>168</v>
      </c>
      <c r="C136" s="320"/>
      <c r="D136" s="285"/>
      <c r="E136" s="156">
        <v>0</v>
      </c>
      <c r="F136" s="171">
        <v>3850262</v>
      </c>
      <c r="G136" s="539">
        <f t="shared" si="15"/>
        <v>3545189</v>
      </c>
      <c r="H136" s="539">
        <f t="shared" si="15"/>
        <v>3259793</v>
      </c>
      <c r="I136" s="60">
        <v>285396</v>
      </c>
      <c r="J136" s="61">
        <v>288795</v>
      </c>
      <c r="K136" s="61">
        <v>287541</v>
      </c>
      <c r="L136" s="61">
        <v>285364</v>
      </c>
      <c r="M136" s="61">
        <v>303911</v>
      </c>
      <c r="N136" s="277">
        <v>305828</v>
      </c>
      <c r="O136" s="71">
        <v>300410</v>
      </c>
      <c r="P136" s="61">
        <v>293612</v>
      </c>
      <c r="Q136" s="61">
        <v>295313</v>
      </c>
      <c r="R136" s="61">
        <v>288776</v>
      </c>
      <c r="S136" s="61">
        <v>304399</v>
      </c>
      <c r="T136" s="62">
        <v>305844</v>
      </c>
    </row>
    <row r="137" spans="1:20" ht="0.75" customHeight="1" x14ac:dyDescent="0.35">
      <c r="A137" s="12"/>
      <c r="B137" s="305" t="s">
        <v>208</v>
      </c>
      <c r="C137" s="320"/>
      <c r="D137" s="285"/>
      <c r="E137" s="161"/>
      <c r="F137" s="163"/>
      <c r="G137" s="302"/>
      <c r="H137" s="302"/>
      <c r="I137" s="303" t="s">
        <v>41</v>
      </c>
      <c r="J137" s="303" t="s">
        <v>41</v>
      </c>
      <c r="K137" s="303" t="s">
        <v>41</v>
      </c>
      <c r="L137" s="303" t="s">
        <v>41</v>
      </c>
      <c r="M137" s="303" t="s">
        <v>41</v>
      </c>
      <c r="N137" s="303" t="s">
        <v>41</v>
      </c>
      <c r="O137" s="303" t="s">
        <v>41</v>
      </c>
      <c r="P137" s="303" t="s">
        <v>41</v>
      </c>
      <c r="Q137" s="303" t="s">
        <v>41</v>
      </c>
      <c r="R137" s="303" t="s">
        <v>41</v>
      </c>
      <c r="S137" s="366"/>
      <c r="T137" s="366"/>
    </row>
    <row r="138" spans="1:20" s="126" customFormat="1" ht="15.75" customHeight="1" x14ac:dyDescent="0.35">
      <c r="A138" s="125"/>
      <c r="B138" s="490" t="s">
        <v>30</v>
      </c>
      <c r="C138" s="491"/>
      <c r="D138" s="491"/>
      <c r="E138" s="491"/>
      <c r="F138" s="491"/>
      <c r="G138" s="491"/>
      <c r="H138" s="491"/>
      <c r="I138" s="491"/>
      <c r="J138" s="491"/>
      <c r="K138" s="491"/>
      <c r="L138" s="491"/>
      <c r="M138" s="491"/>
      <c r="N138" s="491"/>
      <c r="O138" s="491"/>
      <c r="P138" s="491"/>
      <c r="Q138" s="491"/>
      <c r="R138" s="491"/>
      <c r="S138" s="491"/>
      <c r="T138" s="492"/>
    </row>
    <row r="139" spans="1:20" s="126" customFormat="1" ht="16" customHeight="1" x14ac:dyDescent="0.35">
      <c r="A139" s="125"/>
      <c r="B139" s="493" t="s">
        <v>29</v>
      </c>
      <c r="C139" s="494"/>
      <c r="D139" s="494"/>
      <c r="E139" s="494"/>
      <c r="F139" s="494"/>
      <c r="G139" s="494"/>
      <c r="H139" s="494"/>
      <c r="I139" s="494"/>
      <c r="J139" s="494"/>
      <c r="K139" s="494"/>
      <c r="L139" s="494"/>
      <c r="M139" s="494"/>
      <c r="N139" s="494"/>
      <c r="O139" s="494"/>
      <c r="P139" s="494"/>
      <c r="Q139" s="494"/>
      <c r="R139" s="494"/>
      <c r="S139" s="494"/>
      <c r="T139" s="495"/>
    </row>
    <row r="140" spans="1:20" ht="15" customHeight="1" x14ac:dyDescent="0.35">
      <c r="A140" s="12"/>
      <c r="B140" s="32" t="s">
        <v>214</v>
      </c>
      <c r="E140" s="156">
        <v>0</v>
      </c>
      <c r="F140" s="157">
        <v>4108</v>
      </c>
      <c r="G140" s="539">
        <f t="shared" ref="G140:H143" si="16">SUM(I140:T140)</f>
        <v>1819</v>
      </c>
      <c r="H140" s="539">
        <f t="shared" si="16"/>
        <v>1670</v>
      </c>
      <c r="I140" s="7">
        <v>149</v>
      </c>
      <c r="J140" s="46">
        <v>151</v>
      </c>
      <c r="K140" s="46">
        <v>153</v>
      </c>
      <c r="L140" s="46">
        <v>152</v>
      </c>
      <c r="M140" s="46">
        <v>155</v>
      </c>
      <c r="N140" s="46">
        <v>154</v>
      </c>
      <c r="O140" s="8">
        <v>155</v>
      </c>
      <c r="P140" s="46">
        <v>157</v>
      </c>
      <c r="Q140" s="46">
        <v>161</v>
      </c>
      <c r="R140" s="46">
        <v>150</v>
      </c>
      <c r="S140" s="46">
        <v>142</v>
      </c>
      <c r="T140" s="46">
        <v>140</v>
      </c>
    </row>
    <row r="141" spans="1:20" ht="15" customHeight="1" x14ac:dyDescent="0.35">
      <c r="A141" s="12"/>
      <c r="B141" s="193" t="s">
        <v>169</v>
      </c>
      <c r="C141" s="311"/>
      <c r="E141" s="156">
        <v>0</v>
      </c>
      <c r="F141" s="157">
        <v>3156</v>
      </c>
      <c r="G141" s="539">
        <f t="shared" si="16"/>
        <v>1141</v>
      </c>
      <c r="H141" s="539">
        <f t="shared" si="16"/>
        <v>1050</v>
      </c>
      <c r="I141" s="15">
        <v>91</v>
      </c>
      <c r="J141" s="16">
        <v>93</v>
      </c>
      <c r="K141" s="16">
        <v>94</v>
      </c>
      <c r="L141" s="46">
        <v>97</v>
      </c>
      <c r="M141" s="46">
        <v>96</v>
      </c>
      <c r="N141" s="46">
        <v>98</v>
      </c>
      <c r="O141" s="8">
        <v>99</v>
      </c>
      <c r="P141" s="236">
        <v>98</v>
      </c>
      <c r="Q141" s="16">
        <v>95</v>
      </c>
      <c r="R141" s="16">
        <v>95</v>
      </c>
      <c r="S141" s="16">
        <v>94</v>
      </c>
      <c r="T141" s="17">
        <v>91</v>
      </c>
    </row>
    <row r="142" spans="1:20" ht="15" customHeight="1" x14ac:dyDescent="0.35">
      <c r="A142" s="12"/>
      <c r="B142" s="193" t="s">
        <v>170</v>
      </c>
      <c r="C142" s="311"/>
      <c r="E142" s="156">
        <v>0</v>
      </c>
      <c r="F142" s="157">
        <v>952</v>
      </c>
      <c r="G142" s="539">
        <f t="shared" si="16"/>
        <v>678</v>
      </c>
      <c r="H142" s="539">
        <f t="shared" si="16"/>
        <v>620</v>
      </c>
      <c r="I142" s="15">
        <v>58</v>
      </c>
      <c r="J142" s="16">
        <v>58</v>
      </c>
      <c r="K142" s="138">
        <v>59</v>
      </c>
      <c r="L142" s="138">
        <v>55</v>
      </c>
      <c r="M142" s="46">
        <v>59</v>
      </c>
      <c r="N142" s="46">
        <v>56</v>
      </c>
      <c r="O142" s="8">
        <v>56</v>
      </c>
      <c r="P142" s="236">
        <v>59</v>
      </c>
      <c r="Q142" s="16">
        <v>66</v>
      </c>
      <c r="R142" s="16">
        <v>55</v>
      </c>
      <c r="S142" s="16">
        <v>48</v>
      </c>
      <c r="T142" s="17">
        <v>49</v>
      </c>
    </row>
    <row r="143" spans="1:20" ht="15" customHeight="1" x14ac:dyDescent="0.35">
      <c r="A143" s="12"/>
      <c r="B143" s="31" t="s">
        <v>244</v>
      </c>
      <c r="E143" s="156">
        <v>0</v>
      </c>
      <c r="F143" s="157">
        <v>883408</v>
      </c>
      <c r="G143" s="539">
        <f t="shared" si="16"/>
        <v>538757</v>
      </c>
      <c r="H143" s="539">
        <f t="shared" si="16"/>
        <v>501926</v>
      </c>
      <c r="I143" s="60">
        <v>36831</v>
      </c>
      <c r="J143" s="58">
        <v>36962</v>
      </c>
      <c r="K143" s="58">
        <v>39053</v>
      </c>
      <c r="L143" s="58">
        <v>37065</v>
      </c>
      <c r="M143" s="58">
        <v>37062</v>
      </c>
      <c r="N143" s="41">
        <v>36902</v>
      </c>
      <c r="O143" s="58">
        <v>35406</v>
      </c>
      <c r="P143" s="326">
        <v>34122</v>
      </c>
      <c r="Q143" s="58">
        <v>37811</v>
      </c>
      <c r="R143" s="58">
        <v>36542</v>
      </c>
      <c r="S143" s="58">
        <v>72128</v>
      </c>
      <c r="T143" s="59">
        <v>98873</v>
      </c>
    </row>
    <row r="144" spans="1:20" s="126" customFormat="1" ht="13" customHeight="1" x14ac:dyDescent="0.35">
      <c r="A144" s="125"/>
      <c r="B144" s="496" t="s">
        <v>31</v>
      </c>
      <c r="C144" s="441"/>
      <c r="D144" s="441"/>
      <c r="E144" s="441"/>
      <c r="F144" s="441"/>
      <c r="G144" s="441"/>
      <c r="H144" s="441"/>
      <c r="I144" s="441"/>
      <c r="J144" s="441"/>
      <c r="K144" s="441"/>
      <c r="L144" s="441"/>
      <c r="M144" s="441"/>
      <c r="N144" s="441"/>
      <c r="O144" s="441"/>
      <c r="P144" s="441"/>
      <c r="Q144" s="441"/>
      <c r="R144" s="441"/>
      <c r="S144" s="441"/>
      <c r="T144" s="497"/>
    </row>
    <row r="145" spans="1:20" ht="3" hidden="1" customHeight="1" x14ac:dyDescent="0.35">
      <c r="A145" s="12"/>
      <c r="B145" s="32" t="s">
        <v>172</v>
      </c>
      <c r="E145" s="156">
        <v>0</v>
      </c>
      <c r="F145" s="157">
        <v>934</v>
      </c>
      <c r="G145" s="170">
        <f t="shared" ref="G145:H147" si="17">SUM(I145:T145)</f>
        <v>0</v>
      </c>
      <c r="H145" s="170">
        <f t="shared" si="17"/>
        <v>0</v>
      </c>
      <c r="I145" s="301" t="s">
        <v>41</v>
      </c>
      <c r="J145" s="301"/>
      <c r="K145" s="301"/>
      <c r="L145" s="301"/>
      <c r="M145" s="301"/>
      <c r="N145" s="301"/>
      <c r="O145" s="301"/>
      <c r="P145" s="301"/>
      <c r="Q145" s="301"/>
      <c r="R145" s="301"/>
      <c r="S145" s="301"/>
      <c r="T145" s="301"/>
    </row>
    <row r="146" spans="1:20" ht="15" hidden="1" customHeight="1" x14ac:dyDescent="0.35">
      <c r="A146" s="12"/>
      <c r="B146" s="63" t="s">
        <v>173</v>
      </c>
      <c r="C146" s="320"/>
      <c r="D146" s="285"/>
      <c r="E146" s="172">
        <v>0</v>
      </c>
      <c r="F146" s="173">
        <v>0</v>
      </c>
      <c r="G146" s="170">
        <f t="shared" si="17"/>
        <v>0</v>
      </c>
      <c r="H146" s="170">
        <f t="shared" si="17"/>
        <v>0</v>
      </c>
      <c r="I146" s="301" t="s">
        <v>41</v>
      </c>
      <c r="J146" s="301"/>
      <c r="K146" s="301"/>
      <c r="L146" s="301"/>
      <c r="M146" s="301"/>
      <c r="N146" s="301"/>
      <c r="O146" s="301"/>
      <c r="P146" s="301"/>
      <c r="Q146" s="301"/>
      <c r="R146" s="301"/>
      <c r="S146" s="301"/>
      <c r="T146" s="301"/>
    </row>
    <row r="147" spans="1:20" ht="15" hidden="1" customHeight="1" x14ac:dyDescent="0.35">
      <c r="A147" s="12"/>
      <c r="B147" s="31" t="s">
        <v>174</v>
      </c>
      <c r="E147" s="174">
        <v>0</v>
      </c>
      <c r="F147" s="175">
        <v>0</v>
      </c>
      <c r="G147" s="176">
        <f t="shared" si="17"/>
        <v>0</v>
      </c>
      <c r="H147" s="176">
        <f t="shared" si="17"/>
        <v>0</v>
      </c>
      <c r="I147" s="301" t="s">
        <v>41</v>
      </c>
      <c r="J147" s="301"/>
      <c r="K147" s="301"/>
      <c r="L147" s="301"/>
      <c r="M147" s="301"/>
      <c r="N147" s="301"/>
      <c r="O147" s="301"/>
      <c r="P147" s="301"/>
      <c r="Q147" s="301"/>
      <c r="R147" s="301"/>
      <c r="S147" s="301"/>
      <c r="T147" s="301"/>
    </row>
    <row r="148" spans="1:20" ht="15" hidden="1" customHeight="1" x14ac:dyDescent="0.35">
      <c r="A148" s="12"/>
      <c r="B148" s="30" t="s">
        <v>175</v>
      </c>
      <c r="C148" s="313"/>
      <c r="D148" s="280"/>
      <c r="E148" s="128" t="s">
        <v>41</v>
      </c>
      <c r="F148" s="14" t="s">
        <v>41</v>
      </c>
      <c r="G148" s="398"/>
      <c r="H148" s="136"/>
      <c r="I148" s="301" t="s">
        <v>41</v>
      </c>
      <c r="J148" s="301"/>
      <c r="K148" s="301"/>
      <c r="L148" s="301"/>
      <c r="M148" s="301"/>
      <c r="N148" s="301"/>
      <c r="O148" s="301"/>
      <c r="P148" s="301"/>
      <c r="Q148" s="301"/>
      <c r="R148" s="301"/>
      <c r="S148" s="301"/>
      <c r="T148" s="301"/>
    </row>
    <row r="149" spans="1:20" ht="15" customHeight="1" x14ac:dyDescent="0.35">
      <c r="A149" s="12"/>
      <c r="B149" s="64" t="s">
        <v>176</v>
      </c>
      <c r="C149" s="321"/>
      <c r="D149" s="290"/>
      <c r="E149" s="33">
        <v>34</v>
      </c>
      <c r="F149" s="14">
        <v>34</v>
      </c>
      <c r="G149" s="397">
        <v>9</v>
      </c>
      <c r="H149" s="38">
        <f>SUM(J149:U149)</f>
        <v>27</v>
      </c>
      <c r="I149" s="65">
        <v>3</v>
      </c>
      <c r="J149" s="66">
        <v>3</v>
      </c>
      <c r="K149" s="66">
        <v>5</v>
      </c>
      <c r="L149" s="66">
        <v>4</v>
      </c>
      <c r="M149" s="66">
        <v>4</v>
      </c>
      <c r="N149" s="409">
        <v>3</v>
      </c>
      <c r="O149" s="66">
        <v>2</v>
      </c>
      <c r="P149" s="138">
        <v>1</v>
      </c>
      <c r="Q149" s="66">
        <v>1</v>
      </c>
      <c r="R149" s="66">
        <v>0</v>
      </c>
      <c r="S149" s="66">
        <v>2</v>
      </c>
      <c r="T149" s="67">
        <v>2</v>
      </c>
    </row>
    <row r="150" spans="1:20" s="126" customFormat="1" ht="16" customHeight="1" x14ac:dyDescent="0.35">
      <c r="A150" s="125"/>
      <c r="B150" s="498" t="s">
        <v>103</v>
      </c>
      <c r="C150" s="499"/>
      <c r="D150" s="499"/>
      <c r="E150" s="499"/>
      <c r="F150" s="499"/>
      <c r="G150" s="500"/>
      <c r="H150" s="500"/>
      <c r="I150" s="500"/>
      <c r="J150" s="500"/>
      <c r="K150" s="500"/>
      <c r="L150" s="500"/>
      <c r="M150" s="500"/>
      <c r="N150" s="500"/>
      <c r="O150" s="500"/>
      <c r="P150" s="500"/>
      <c r="Q150" s="500"/>
      <c r="R150" s="500"/>
      <c r="S150" s="500"/>
      <c r="T150" s="501"/>
    </row>
    <row r="151" spans="1:20" s="126" customFormat="1" ht="16" customHeight="1" x14ac:dyDescent="0.35">
      <c r="A151" s="125"/>
      <c r="B151" s="502" t="s">
        <v>32</v>
      </c>
      <c r="C151" s="503"/>
      <c r="D151" s="503"/>
      <c r="E151" s="503"/>
      <c r="F151" s="503"/>
      <c r="G151" s="503"/>
      <c r="H151" s="503"/>
      <c r="I151" s="503"/>
      <c r="J151" s="503"/>
      <c r="K151" s="503"/>
      <c r="L151" s="503"/>
      <c r="M151" s="503"/>
      <c r="N151" s="503"/>
      <c r="O151" s="503"/>
      <c r="P151" s="503"/>
      <c r="Q151" s="503"/>
      <c r="R151" s="503"/>
      <c r="S151" s="503"/>
      <c r="T151" s="504"/>
    </row>
    <row r="152" spans="1:20" ht="15" customHeight="1" x14ac:dyDescent="0.35">
      <c r="A152" s="12"/>
      <c r="B152" s="32" t="s">
        <v>177</v>
      </c>
      <c r="C152" s="313"/>
      <c r="D152" s="280"/>
      <c r="E152" s="345">
        <v>183973.25</v>
      </c>
      <c r="F152" s="345">
        <v>181770.77</v>
      </c>
      <c r="G152" s="392">
        <v>1791047.51</v>
      </c>
      <c r="H152" s="68">
        <f t="shared" ref="H152" si="18">SUM(H153:H159)</f>
        <v>1584538.67</v>
      </c>
      <c r="I152" s="326">
        <v>151039</v>
      </c>
      <c r="J152" s="41">
        <f>SUM(J153:J159)</f>
        <v>202204.1</v>
      </c>
      <c r="K152" s="41">
        <f t="shared" ref="K152:T152" si="19">SUM(K153:K159)</f>
        <v>98276</v>
      </c>
      <c r="L152" s="41">
        <f t="shared" si="19"/>
        <v>85845.77</v>
      </c>
      <c r="M152" s="41">
        <f t="shared" si="19"/>
        <v>97528.7</v>
      </c>
      <c r="N152" s="41">
        <f t="shared" si="19"/>
        <v>83396</v>
      </c>
      <c r="O152" s="41">
        <f t="shared" si="19"/>
        <v>103697.46</v>
      </c>
      <c r="P152" s="41">
        <f t="shared" si="19"/>
        <v>104169.94</v>
      </c>
      <c r="Q152" s="41">
        <f t="shared" si="19"/>
        <v>81466.7</v>
      </c>
      <c r="R152" s="41">
        <f t="shared" si="19"/>
        <v>85883</v>
      </c>
      <c r="S152" s="41" t="s">
        <v>253</v>
      </c>
      <c r="T152" s="41">
        <f t="shared" si="19"/>
        <v>391551</v>
      </c>
    </row>
    <row r="153" spans="1:20" ht="15" customHeight="1" x14ac:dyDescent="0.35">
      <c r="A153" s="12"/>
      <c r="B153" s="194" t="s">
        <v>178</v>
      </c>
      <c r="C153" s="322"/>
      <c r="D153" s="280"/>
      <c r="E153" s="345">
        <v>1071</v>
      </c>
      <c r="F153" s="345">
        <v>677</v>
      </c>
      <c r="G153" s="392">
        <v>5697.5300000000007</v>
      </c>
      <c r="H153" s="68">
        <f>SUM(I153:U153)</f>
        <v>266.5</v>
      </c>
      <c r="I153" s="352">
        <v>0</v>
      </c>
      <c r="J153" s="41">
        <v>0</v>
      </c>
      <c r="K153" s="41">
        <v>0</v>
      </c>
      <c r="L153" s="269">
        <v>0</v>
      </c>
      <c r="M153" s="41">
        <v>186.5</v>
      </c>
      <c r="N153" s="269">
        <v>50</v>
      </c>
      <c r="O153" s="41">
        <v>0</v>
      </c>
      <c r="P153" s="41">
        <v>0</v>
      </c>
      <c r="Q153" s="41">
        <v>0</v>
      </c>
      <c r="R153" s="41">
        <v>0</v>
      </c>
      <c r="S153" s="387">
        <v>0</v>
      </c>
      <c r="T153" s="350">
        <v>30</v>
      </c>
    </row>
    <row r="154" spans="1:20" ht="15" customHeight="1" x14ac:dyDescent="0.35">
      <c r="A154" s="12"/>
      <c r="B154" s="194" t="s">
        <v>245</v>
      </c>
      <c r="C154" s="322"/>
      <c r="D154" s="280"/>
      <c r="E154" s="345"/>
      <c r="F154" s="345"/>
      <c r="G154" s="392"/>
      <c r="H154" s="68">
        <f>SUM(I154:U154)</f>
        <v>491</v>
      </c>
      <c r="I154" s="352">
        <v>491</v>
      </c>
      <c r="J154" s="269">
        <v>0</v>
      </c>
      <c r="K154" s="269">
        <v>0</v>
      </c>
      <c r="L154" s="269">
        <v>0</v>
      </c>
      <c r="M154" s="269">
        <v>0</v>
      </c>
      <c r="N154" s="269">
        <v>0</v>
      </c>
      <c r="O154" s="269">
        <v>0</v>
      </c>
      <c r="P154" s="326">
        <v>0</v>
      </c>
      <c r="Q154" s="326">
        <v>0</v>
      </c>
      <c r="R154" s="326">
        <v>0</v>
      </c>
      <c r="S154" s="387">
        <v>0</v>
      </c>
      <c r="T154" s="350">
        <v>0</v>
      </c>
    </row>
    <row r="155" spans="1:20" ht="15" customHeight="1" x14ac:dyDescent="0.35">
      <c r="A155" s="12"/>
      <c r="B155" s="193" t="s">
        <v>179</v>
      </c>
      <c r="C155" s="314"/>
      <c r="D155" s="282"/>
      <c r="E155" s="345">
        <v>125574.99</v>
      </c>
      <c r="F155" s="345">
        <v>147496.13</v>
      </c>
      <c r="G155" s="399">
        <v>1757729.88</v>
      </c>
      <c r="H155" s="68">
        <f t="shared" ref="H155:H159" si="20">SUM(I155:U155)</f>
        <v>1579151.97</v>
      </c>
      <c r="I155" s="352">
        <v>149116.73000000001</v>
      </c>
      <c r="J155" s="269">
        <v>200831.17</v>
      </c>
      <c r="K155" s="413">
        <v>98056</v>
      </c>
      <c r="L155" s="269">
        <v>85705.77</v>
      </c>
      <c r="M155" s="416">
        <v>96632.2</v>
      </c>
      <c r="N155" s="387">
        <v>83196</v>
      </c>
      <c r="O155" s="41">
        <v>103592.46</v>
      </c>
      <c r="P155" s="387">
        <v>104069.94</v>
      </c>
      <c r="Q155" s="350">
        <v>81366.7</v>
      </c>
      <c r="R155" s="278">
        <v>85783</v>
      </c>
      <c r="S155" s="438">
        <v>99381</v>
      </c>
      <c r="T155" s="350">
        <v>391421</v>
      </c>
    </row>
    <row r="156" spans="1:20" ht="27.65" customHeight="1" x14ac:dyDescent="0.25">
      <c r="A156" s="12"/>
      <c r="B156" s="193" t="s">
        <v>180</v>
      </c>
      <c r="C156" s="314"/>
      <c r="D156" s="282"/>
      <c r="E156" s="345">
        <v>5226.96</v>
      </c>
      <c r="F156" s="345">
        <v>2246.6799999999998</v>
      </c>
      <c r="G156" s="399">
        <v>7189.1</v>
      </c>
      <c r="H156" s="68">
        <f t="shared" si="20"/>
        <v>3319.2</v>
      </c>
      <c r="I156" s="352">
        <v>1331.27</v>
      </c>
      <c r="J156" s="269">
        <v>1267.93</v>
      </c>
      <c r="K156" s="413">
        <v>120</v>
      </c>
      <c r="L156" s="269">
        <v>40</v>
      </c>
      <c r="M156" s="269">
        <v>560</v>
      </c>
      <c r="N156" s="269">
        <v>0</v>
      </c>
      <c r="O156" s="41">
        <v>0</v>
      </c>
      <c r="P156" s="269">
        <v>0</v>
      </c>
      <c r="Q156" s="269">
        <v>0</v>
      </c>
      <c r="R156" s="41">
        <v>0</v>
      </c>
      <c r="S156" s="350">
        <v>0</v>
      </c>
      <c r="T156" s="350">
        <v>0</v>
      </c>
    </row>
    <row r="157" spans="1:20" ht="15" customHeight="1" x14ac:dyDescent="0.35">
      <c r="A157" s="12"/>
      <c r="B157" s="193" t="s">
        <v>181</v>
      </c>
      <c r="C157" s="314"/>
      <c r="D157" s="282"/>
      <c r="E157" s="345">
        <v>43761.8</v>
      </c>
      <c r="F157" s="345">
        <v>28958.059999999998</v>
      </c>
      <c r="G157" s="399">
        <v>19726</v>
      </c>
      <c r="H157" s="68">
        <f t="shared" si="20"/>
        <v>50</v>
      </c>
      <c r="I157" s="138">
        <v>0</v>
      </c>
      <c r="J157" s="269">
        <v>0</v>
      </c>
      <c r="K157" s="138">
        <v>0</v>
      </c>
      <c r="L157" s="138">
        <v>0</v>
      </c>
      <c r="M157" s="269">
        <v>50</v>
      </c>
      <c r="N157" s="269">
        <v>0</v>
      </c>
      <c r="O157" s="41">
        <v>0</v>
      </c>
      <c r="P157" s="387">
        <v>0</v>
      </c>
      <c r="Q157" s="387">
        <v>0</v>
      </c>
      <c r="R157" s="41">
        <v>0</v>
      </c>
      <c r="S157" s="41">
        <v>0</v>
      </c>
      <c r="T157" s="350">
        <v>0</v>
      </c>
    </row>
    <row r="158" spans="1:20" ht="15" customHeight="1" x14ac:dyDescent="0.35">
      <c r="A158" s="12"/>
      <c r="B158" s="193" t="s">
        <v>182</v>
      </c>
      <c r="C158" s="314"/>
      <c r="D158" s="282"/>
      <c r="E158" s="345">
        <v>8338.5</v>
      </c>
      <c r="F158" s="345">
        <v>2362.9</v>
      </c>
      <c r="G158" s="399">
        <v>705</v>
      </c>
      <c r="H158" s="68">
        <f t="shared" si="20"/>
        <v>1260</v>
      </c>
      <c r="I158" s="352">
        <v>100</v>
      </c>
      <c r="J158" s="269">
        <v>105</v>
      </c>
      <c r="K158" s="352">
        <v>100</v>
      </c>
      <c r="L158" s="269">
        <v>100</v>
      </c>
      <c r="M158" s="269">
        <v>100</v>
      </c>
      <c r="N158" s="269">
        <v>150</v>
      </c>
      <c r="O158" s="41">
        <v>105</v>
      </c>
      <c r="P158" s="41">
        <v>100</v>
      </c>
      <c r="Q158" s="41">
        <v>100</v>
      </c>
      <c r="R158" s="41">
        <v>100</v>
      </c>
      <c r="S158" s="350">
        <v>100</v>
      </c>
      <c r="T158" s="350">
        <v>100</v>
      </c>
    </row>
    <row r="159" spans="1:20" ht="15" customHeight="1" x14ac:dyDescent="0.35">
      <c r="A159" s="12"/>
      <c r="B159" s="192" t="s">
        <v>183</v>
      </c>
      <c r="C159" s="310"/>
      <c r="D159" s="281"/>
      <c r="E159" s="345">
        <v>0</v>
      </c>
      <c r="F159" s="345">
        <v>30</v>
      </c>
      <c r="G159" s="400">
        <v>0</v>
      </c>
      <c r="H159" s="68">
        <f t="shared" si="20"/>
        <v>0</v>
      </c>
      <c r="I159" s="352">
        <v>0</v>
      </c>
      <c r="J159" s="269">
        <v>0</v>
      </c>
      <c r="K159" s="352">
        <v>0</v>
      </c>
      <c r="L159" s="352">
        <v>0</v>
      </c>
      <c r="M159" s="269">
        <v>0</v>
      </c>
      <c r="N159" s="269">
        <v>0</v>
      </c>
      <c r="O159" s="41">
        <v>0</v>
      </c>
      <c r="P159" s="41">
        <v>0</v>
      </c>
      <c r="Q159" s="41">
        <v>0</v>
      </c>
      <c r="R159" s="41">
        <v>0</v>
      </c>
      <c r="S159" s="41">
        <v>0</v>
      </c>
      <c r="T159" s="41">
        <v>0</v>
      </c>
    </row>
    <row r="160" spans="1:20" s="126" customFormat="1" ht="16" customHeight="1" x14ac:dyDescent="0.35">
      <c r="A160" s="125"/>
      <c r="B160" s="484" t="s">
        <v>33</v>
      </c>
      <c r="C160" s="485"/>
      <c r="D160" s="485"/>
      <c r="E160" s="485"/>
      <c r="F160" s="485"/>
      <c r="G160" s="485"/>
      <c r="H160" s="485"/>
      <c r="I160" s="485"/>
      <c r="J160" s="485"/>
      <c r="K160" s="485"/>
      <c r="L160" s="485"/>
      <c r="M160" s="485"/>
      <c r="N160" s="485"/>
      <c r="O160" s="485"/>
      <c r="P160" s="485"/>
      <c r="Q160" s="485"/>
      <c r="R160" s="485"/>
      <c r="S160" s="485"/>
      <c r="T160" s="486"/>
    </row>
    <row r="161" spans="1:20" ht="15" customHeight="1" x14ac:dyDescent="0.35">
      <c r="A161" s="12"/>
      <c r="B161" s="32" t="s">
        <v>184</v>
      </c>
      <c r="C161" s="313"/>
      <c r="D161" s="280"/>
      <c r="E161" s="142">
        <v>26704</v>
      </c>
      <c r="F161" s="143">
        <v>29850</v>
      </c>
      <c r="G161" s="391">
        <v>62694</v>
      </c>
      <c r="H161" s="6">
        <f>SUM(I161:T161)</f>
        <v>68014</v>
      </c>
      <c r="I161" s="33">
        <v>6693</v>
      </c>
      <c r="J161" s="33">
        <v>4960</v>
      </c>
      <c r="K161" s="50">
        <v>6587</v>
      </c>
      <c r="L161" s="33">
        <v>6157</v>
      </c>
      <c r="M161" s="50">
        <v>4119</v>
      </c>
      <c r="N161" s="46">
        <v>5505</v>
      </c>
      <c r="O161" s="33">
        <v>6434</v>
      </c>
      <c r="P161" s="33">
        <v>5153</v>
      </c>
      <c r="Q161" s="50">
        <v>5418</v>
      </c>
      <c r="R161" s="50">
        <v>5549</v>
      </c>
      <c r="S161" s="50">
        <v>5919</v>
      </c>
      <c r="T161" s="50">
        <v>5520</v>
      </c>
    </row>
    <row r="162" spans="1:20" ht="15" customHeight="1" x14ac:dyDescent="0.35">
      <c r="A162" s="12"/>
      <c r="B162" s="194" t="s">
        <v>34</v>
      </c>
      <c r="C162" s="322"/>
      <c r="D162" s="280"/>
      <c r="E162" s="142">
        <v>26634</v>
      </c>
      <c r="F162" s="143">
        <v>29850</v>
      </c>
      <c r="G162" s="391">
        <v>60664</v>
      </c>
      <c r="H162" s="6">
        <f t="shared" ref="H162:H163" si="21">SUM(I162:T162)</f>
        <v>68014</v>
      </c>
      <c r="I162" s="33">
        <v>6693</v>
      </c>
      <c r="J162" s="33">
        <v>4960</v>
      </c>
      <c r="K162" s="50">
        <v>6587</v>
      </c>
      <c r="L162" s="33">
        <v>6157</v>
      </c>
      <c r="M162" s="50">
        <v>4119</v>
      </c>
      <c r="N162" s="46">
        <v>5505</v>
      </c>
      <c r="O162" s="33">
        <v>6434</v>
      </c>
      <c r="P162" s="33">
        <v>5153</v>
      </c>
      <c r="Q162" s="50">
        <v>5418</v>
      </c>
      <c r="R162" s="50">
        <v>5549</v>
      </c>
      <c r="S162" s="50">
        <v>5919</v>
      </c>
      <c r="T162" s="50">
        <v>5520</v>
      </c>
    </row>
    <row r="163" spans="1:20" ht="15" hidden="1" customHeight="1" x14ac:dyDescent="0.35">
      <c r="A163" s="12"/>
      <c r="B163" s="193" t="s">
        <v>195</v>
      </c>
      <c r="C163" s="314"/>
      <c r="D163" s="282"/>
      <c r="E163" s="142">
        <v>70</v>
      </c>
      <c r="F163" s="143">
        <v>0</v>
      </c>
      <c r="G163" s="396">
        <v>2030</v>
      </c>
      <c r="H163" s="6">
        <f t="shared" si="21"/>
        <v>395</v>
      </c>
      <c r="I163" s="50">
        <v>246</v>
      </c>
      <c r="J163" s="33">
        <v>0</v>
      </c>
      <c r="K163" s="138">
        <v>149</v>
      </c>
      <c r="L163" s="50"/>
      <c r="M163" s="50"/>
      <c r="N163" s="46"/>
      <c r="O163" s="46"/>
      <c r="P163" s="46"/>
      <c r="Q163" s="50"/>
      <c r="R163" s="50"/>
      <c r="S163" s="50"/>
      <c r="T163" s="50"/>
    </row>
    <row r="164" spans="1:20" ht="15" customHeight="1" x14ac:dyDescent="0.4">
      <c r="A164" s="12"/>
      <c r="B164" s="30" t="s">
        <v>185</v>
      </c>
      <c r="C164" s="315"/>
      <c r="D164" s="282"/>
      <c r="E164" s="142">
        <v>162447</v>
      </c>
      <c r="F164" s="143">
        <v>153019</v>
      </c>
      <c r="G164" s="396">
        <v>186351</v>
      </c>
      <c r="H164" s="19">
        <f>SUM(I164:T164)</f>
        <v>161635</v>
      </c>
      <c r="I164" s="33">
        <v>16950</v>
      </c>
      <c r="J164" s="252">
        <v>16288</v>
      </c>
      <c r="K164" s="50">
        <v>13719</v>
      </c>
      <c r="L164" s="50">
        <v>15376</v>
      </c>
      <c r="M164" s="50">
        <v>11695</v>
      </c>
      <c r="N164" s="46">
        <v>12978</v>
      </c>
      <c r="O164" s="50">
        <v>15308</v>
      </c>
      <c r="P164" s="50">
        <v>12515</v>
      </c>
      <c r="Q164" s="422">
        <v>11720</v>
      </c>
      <c r="R164" s="410">
        <v>13471</v>
      </c>
      <c r="S164" s="50">
        <v>9154</v>
      </c>
      <c r="T164" s="390">
        <v>12461</v>
      </c>
    </row>
    <row r="165" spans="1:20" ht="15" customHeight="1" x14ac:dyDescent="0.4">
      <c r="A165" s="12"/>
      <c r="B165" s="193" t="s">
        <v>186</v>
      </c>
      <c r="C165" s="314"/>
      <c r="D165" s="282"/>
      <c r="E165" s="142">
        <v>160169</v>
      </c>
      <c r="F165" s="143">
        <v>151149</v>
      </c>
      <c r="G165" s="396">
        <v>181489</v>
      </c>
      <c r="H165" s="19">
        <f>SUM(I165:T165)</f>
        <v>157967</v>
      </c>
      <c r="I165" s="138">
        <v>16863</v>
      </c>
      <c r="J165" s="252">
        <v>15932</v>
      </c>
      <c r="K165" s="50">
        <v>13378</v>
      </c>
      <c r="L165" s="50">
        <v>14867</v>
      </c>
      <c r="M165" s="50">
        <v>11311</v>
      </c>
      <c r="N165" s="46">
        <v>12571</v>
      </c>
      <c r="O165" s="50">
        <v>14905</v>
      </c>
      <c r="P165" s="50">
        <v>12146</v>
      </c>
      <c r="Q165" s="422">
        <v>11371</v>
      </c>
      <c r="R165" s="50">
        <v>13391</v>
      </c>
      <c r="S165" s="50">
        <v>8887</v>
      </c>
      <c r="T165" s="390">
        <v>12345</v>
      </c>
    </row>
    <row r="166" spans="1:20" ht="15" customHeight="1" x14ac:dyDescent="0.35">
      <c r="A166" s="12"/>
      <c r="B166" s="192" t="s">
        <v>187</v>
      </c>
      <c r="C166" s="310"/>
      <c r="D166" s="281"/>
      <c r="E166" s="333">
        <v>0.98455833333333354</v>
      </c>
      <c r="F166" s="334">
        <v>0.98677500000000007</v>
      </c>
      <c r="G166" s="401">
        <v>0.97317115096340301</v>
      </c>
      <c r="H166" s="336">
        <f>AVERAGE(I166:T166)</f>
        <v>0.97673763376858747</v>
      </c>
      <c r="I166" s="254">
        <f>I165/I164</f>
        <v>0.99486725663716813</v>
      </c>
      <c r="J166" s="254">
        <f>J165/J164</f>
        <v>0.97814341846758346</v>
      </c>
      <c r="K166" s="254">
        <f>K165/K164</f>
        <v>0.97514396093009692</v>
      </c>
      <c r="L166" s="254">
        <f>L165/L164</f>
        <v>0.96689646201873047</v>
      </c>
      <c r="M166" s="254">
        <f t="shared" ref="M166:T166" si="22">M165/M164</f>
        <v>0.96716545532278753</v>
      </c>
      <c r="N166" s="254">
        <f t="shared" si="22"/>
        <v>0.96863923562952692</v>
      </c>
      <c r="O166" s="254">
        <f t="shared" si="22"/>
        <v>0.97367389600209042</v>
      </c>
      <c r="P166" s="254">
        <f t="shared" si="22"/>
        <v>0.97051538154214945</v>
      </c>
      <c r="Q166" s="254">
        <f t="shared" si="22"/>
        <v>0.97022184300341296</v>
      </c>
      <c r="R166" s="254">
        <f t="shared" si="22"/>
        <v>0.99406131690297672</v>
      </c>
      <c r="S166" s="254">
        <f t="shared" si="22"/>
        <v>0.97083242298448769</v>
      </c>
      <c r="T166" s="254">
        <f t="shared" si="22"/>
        <v>0.99069095578203992</v>
      </c>
    </row>
    <row r="167" spans="1:20" s="126" customFormat="1" ht="16" customHeight="1" thickBot="1" x14ac:dyDescent="0.4">
      <c r="A167" s="125"/>
      <c r="B167" s="481" t="s">
        <v>242</v>
      </c>
      <c r="C167" s="482"/>
      <c r="D167" s="482"/>
      <c r="E167" s="482"/>
      <c r="F167" s="482"/>
      <c r="G167" s="482"/>
      <c r="H167" s="482"/>
      <c r="I167" s="482"/>
      <c r="J167" s="482"/>
      <c r="K167" s="482"/>
      <c r="L167" s="482"/>
      <c r="M167" s="482"/>
      <c r="N167" s="482"/>
      <c r="O167" s="482"/>
      <c r="P167" s="482"/>
      <c r="Q167" s="482"/>
      <c r="R167" s="482"/>
      <c r="S167" s="482"/>
      <c r="T167" s="483"/>
    </row>
    <row r="168" spans="1:20" ht="32.25" customHeight="1" thickBot="1" x14ac:dyDescent="0.4">
      <c r="A168" s="12"/>
      <c r="B168" s="389" t="s">
        <v>234</v>
      </c>
      <c r="C168" s="313" t="s">
        <v>235</v>
      </c>
      <c r="D168" s="280"/>
      <c r="E168" s="137">
        <v>5168</v>
      </c>
      <c r="F168" s="139">
        <v>2699</v>
      </c>
      <c r="G168" s="402">
        <v>2810</v>
      </c>
      <c r="H168" s="25">
        <f>SUM(I168:U168)</f>
        <v>4452</v>
      </c>
      <c r="I168" s="7">
        <v>439</v>
      </c>
      <c r="J168" s="7">
        <v>591</v>
      </c>
      <c r="K168" s="7">
        <v>443</v>
      </c>
      <c r="L168" s="384">
        <v>584</v>
      </c>
      <c r="M168" s="7">
        <v>467</v>
      </c>
      <c r="N168" s="7">
        <v>268</v>
      </c>
      <c r="O168" s="8">
        <v>437</v>
      </c>
      <c r="P168" s="8">
        <v>259</v>
      </c>
      <c r="Q168" s="8">
        <v>317</v>
      </c>
      <c r="R168" s="8">
        <v>276</v>
      </c>
      <c r="S168" s="8">
        <v>209</v>
      </c>
      <c r="T168" s="8">
        <v>162</v>
      </c>
    </row>
    <row r="169" spans="1:20" ht="23.5" customHeight="1" x14ac:dyDescent="0.35">
      <c r="A169" s="12"/>
      <c r="B169" s="191" t="s">
        <v>189</v>
      </c>
      <c r="C169" s="313" t="s">
        <v>235</v>
      </c>
      <c r="D169" s="283"/>
      <c r="E169" s="137">
        <v>3802</v>
      </c>
      <c r="F169" s="139">
        <v>336</v>
      </c>
      <c r="G169" s="403">
        <v>148</v>
      </c>
      <c r="H169" s="25">
        <f t="shared" ref="H169:H174" si="23">SUM(I169:U169)</f>
        <v>682</v>
      </c>
      <c r="I169" s="384">
        <v>1</v>
      </c>
      <c r="J169" s="384">
        <v>372</v>
      </c>
      <c r="K169" s="384">
        <v>151</v>
      </c>
      <c r="L169" s="138">
        <v>25</v>
      </c>
      <c r="M169" s="384">
        <v>32</v>
      </c>
      <c r="N169" s="384">
        <v>9</v>
      </c>
      <c r="O169" s="351">
        <v>23</v>
      </c>
      <c r="P169" s="351">
        <v>21</v>
      </c>
      <c r="Q169" s="351">
        <v>17</v>
      </c>
      <c r="R169" s="351">
        <v>10</v>
      </c>
      <c r="S169" s="351">
        <v>9</v>
      </c>
      <c r="T169" s="351">
        <v>12</v>
      </c>
    </row>
    <row r="170" spans="1:20" ht="24.75" customHeight="1" x14ac:dyDescent="0.35">
      <c r="A170" s="12"/>
      <c r="B170" s="191" t="s">
        <v>238</v>
      </c>
      <c r="C170" s="313" t="s">
        <v>235</v>
      </c>
      <c r="D170" s="283"/>
      <c r="E170" s="137">
        <v>0</v>
      </c>
      <c r="F170" s="139">
        <v>0</v>
      </c>
      <c r="G170" s="403">
        <v>18</v>
      </c>
      <c r="H170" s="25">
        <f t="shared" si="23"/>
        <v>806</v>
      </c>
      <c r="I170" s="7">
        <v>23</v>
      </c>
      <c r="J170" s="16">
        <v>0</v>
      </c>
      <c r="K170" s="16">
        <v>0</v>
      </c>
      <c r="L170" s="16">
        <v>203</v>
      </c>
      <c r="M170" s="16">
        <v>270</v>
      </c>
      <c r="N170" s="16">
        <v>126</v>
      </c>
      <c r="O170" s="16">
        <v>4</v>
      </c>
      <c r="P170" s="16">
        <v>5</v>
      </c>
      <c r="Q170" s="16">
        <v>4</v>
      </c>
      <c r="R170" s="16">
        <v>86</v>
      </c>
      <c r="S170" s="16">
        <v>33</v>
      </c>
      <c r="T170" s="16">
        <v>52</v>
      </c>
    </row>
    <row r="171" spans="1:20" ht="23.5" customHeight="1" x14ac:dyDescent="0.35">
      <c r="A171" s="12"/>
      <c r="B171" s="191" t="s">
        <v>236</v>
      </c>
      <c r="C171" s="313" t="s">
        <v>235</v>
      </c>
      <c r="D171" s="283"/>
      <c r="E171" s="137">
        <v>26</v>
      </c>
      <c r="F171" s="139">
        <v>139</v>
      </c>
      <c r="G171" s="403">
        <v>136</v>
      </c>
      <c r="H171" s="25">
        <f t="shared" si="23"/>
        <v>20</v>
      </c>
      <c r="I171" s="7">
        <v>0</v>
      </c>
      <c r="J171" s="16">
        <v>15</v>
      </c>
      <c r="K171" s="16">
        <v>0</v>
      </c>
      <c r="L171" s="16">
        <v>0</v>
      </c>
      <c r="M171" s="16">
        <v>5</v>
      </c>
      <c r="N171" s="16">
        <v>0</v>
      </c>
      <c r="O171" s="16">
        <v>0</v>
      </c>
      <c r="P171" s="16">
        <v>0</v>
      </c>
      <c r="Q171" s="16">
        <v>0</v>
      </c>
      <c r="R171" s="16">
        <v>0</v>
      </c>
      <c r="S171" s="16">
        <v>0</v>
      </c>
      <c r="T171" s="138">
        <v>0</v>
      </c>
    </row>
    <row r="172" spans="1:20" ht="23.5" customHeight="1" x14ac:dyDescent="0.35">
      <c r="A172" s="12"/>
      <c r="B172" s="191" t="s">
        <v>190</v>
      </c>
      <c r="C172" s="313" t="s">
        <v>235</v>
      </c>
      <c r="D172" s="283"/>
      <c r="E172" s="137">
        <v>463</v>
      </c>
      <c r="F172" s="139">
        <v>817</v>
      </c>
      <c r="G172" s="403">
        <v>990</v>
      </c>
      <c r="H172" s="25">
        <f t="shared" si="23"/>
        <v>901</v>
      </c>
      <c r="I172" s="15">
        <v>151</v>
      </c>
      <c r="J172" s="16">
        <v>111</v>
      </c>
      <c r="K172" s="16">
        <v>86</v>
      </c>
      <c r="L172" s="16">
        <v>23</v>
      </c>
      <c r="M172" s="16">
        <v>49</v>
      </c>
      <c r="N172" s="16">
        <v>18</v>
      </c>
      <c r="O172" s="236">
        <v>122</v>
      </c>
      <c r="P172" s="16">
        <v>52</v>
      </c>
      <c r="Q172" s="16">
        <v>180</v>
      </c>
      <c r="R172" s="16">
        <v>92</v>
      </c>
      <c r="S172" s="16">
        <v>8</v>
      </c>
      <c r="T172" s="16">
        <v>9</v>
      </c>
    </row>
    <row r="173" spans="1:20" ht="23.5" customHeight="1" x14ac:dyDescent="0.35">
      <c r="A173" s="12"/>
      <c r="B173" s="191" t="s">
        <v>237</v>
      </c>
      <c r="C173" s="313" t="s">
        <v>235</v>
      </c>
      <c r="D173" s="282"/>
      <c r="E173" s="137">
        <v>807</v>
      </c>
      <c r="F173" s="139">
        <v>1000</v>
      </c>
      <c r="G173" s="403">
        <v>1280</v>
      </c>
      <c r="H173" s="25">
        <f t="shared" si="23"/>
        <v>1674</v>
      </c>
      <c r="I173" s="15">
        <v>234</v>
      </c>
      <c r="J173" s="16">
        <v>82</v>
      </c>
      <c r="K173" s="16">
        <v>141</v>
      </c>
      <c r="L173" s="16">
        <v>288</v>
      </c>
      <c r="M173" s="16">
        <v>43</v>
      </c>
      <c r="N173" s="16">
        <v>59</v>
      </c>
      <c r="O173" s="16">
        <v>228</v>
      </c>
      <c r="P173" s="16">
        <v>179</v>
      </c>
      <c r="Q173" s="16">
        <v>99</v>
      </c>
      <c r="R173" s="16">
        <v>77</v>
      </c>
      <c r="S173" s="16">
        <v>158</v>
      </c>
      <c r="T173" s="16">
        <v>86</v>
      </c>
    </row>
    <row r="174" spans="1:20" ht="23.5" customHeight="1" x14ac:dyDescent="0.35">
      <c r="A174" s="12"/>
      <c r="B174" s="388" t="s">
        <v>191</v>
      </c>
      <c r="C174" s="313" t="s">
        <v>235</v>
      </c>
      <c r="D174" s="281"/>
      <c r="E174" s="137">
        <v>70</v>
      </c>
      <c r="F174" s="139">
        <v>471</v>
      </c>
      <c r="G174" s="404">
        <v>294</v>
      </c>
      <c r="H174" s="25">
        <f t="shared" si="23"/>
        <v>369</v>
      </c>
      <c r="I174" s="20">
        <v>30</v>
      </c>
      <c r="J174" s="21">
        <v>11</v>
      </c>
      <c r="K174" s="21">
        <v>65</v>
      </c>
      <c r="L174" s="21">
        <v>45</v>
      </c>
      <c r="M174" s="21">
        <v>68</v>
      </c>
      <c r="N174" s="21">
        <v>56</v>
      </c>
      <c r="O174" s="21">
        <v>60</v>
      </c>
      <c r="P174" s="21">
        <v>2</v>
      </c>
      <c r="Q174" s="21">
        <v>17</v>
      </c>
      <c r="R174" s="21">
        <v>11</v>
      </c>
      <c r="S174" s="21">
        <v>1</v>
      </c>
      <c r="T174" s="21">
        <v>3</v>
      </c>
    </row>
    <row r="175" spans="1:20" s="126" customFormat="1" ht="16" customHeight="1" thickBot="1" x14ac:dyDescent="0.4">
      <c r="A175" s="125"/>
      <c r="B175" s="478" t="s">
        <v>104</v>
      </c>
      <c r="C175" s="479"/>
      <c r="D175" s="479"/>
      <c r="E175" s="479"/>
      <c r="F175" s="479"/>
      <c r="G175" s="479"/>
      <c r="H175" s="479"/>
      <c r="I175" s="479"/>
      <c r="J175" s="479"/>
      <c r="K175" s="479"/>
      <c r="L175" s="479"/>
      <c r="M175" s="479"/>
      <c r="N175" s="479"/>
      <c r="O175" s="479"/>
      <c r="P175" s="479"/>
      <c r="Q175" s="479"/>
      <c r="R175" s="479"/>
      <c r="S175" s="479"/>
      <c r="T175" s="480"/>
    </row>
    <row r="176" spans="1:20" ht="15" customHeight="1" thickBot="1" x14ac:dyDescent="0.4">
      <c r="A176" s="12"/>
      <c r="B176" s="32" t="s">
        <v>110</v>
      </c>
      <c r="E176" s="326">
        <v>16799137.490000002</v>
      </c>
      <c r="F176" s="326">
        <v>15946063.390000001</v>
      </c>
      <c r="G176" s="392">
        <v>15420585.520000001</v>
      </c>
      <c r="H176" s="68">
        <f>SUM(I176:U176)</f>
        <v>14741624.98</v>
      </c>
      <c r="I176" s="430">
        <v>1265056.1599999999</v>
      </c>
      <c r="J176" s="347">
        <v>1210388.45</v>
      </c>
      <c r="K176" s="431">
        <v>1197179.05</v>
      </c>
      <c r="L176" s="348">
        <v>1250545</v>
      </c>
      <c r="M176" s="278">
        <v>1179088.2</v>
      </c>
      <c r="N176" s="268">
        <v>1226491.3400000001</v>
      </c>
      <c r="O176" s="268">
        <v>1205804.8600000001</v>
      </c>
      <c r="P176" s="268">
        <v>1130612.6399999999</v>
      </c>
      <c r="Q176" s="268">
        <v>1261902.71</v>
      </c>
      <c r="R176" s="434">
        <v>1282242.8600000001</v>
      </c>
      <c r="S176" s="437">
        <v>1267257.55</v>
      </c>
      <c r="T176" s="440">
        <v>1265056.1599999999</v>
      </c>
    </row>
    <row r="177" spans="1:21" s="126" customFormat="1" ht="16" customHeight="1" x14ac:dyDescent="0.35">
      <c r="A177" s="125"/>
      <c r="B177" s="487" t="s">
        <v>105</v>
      </c>
      <c r="C177" s="488"/>
      <c r="D177" s="488"/>
      <c r="E177" s="488"/>
      <c r="F177" s="488"/>
      <c r="G177" s="488"/>
      <c r="H177" s="488"/>
      <c r="I177" s="488"/>
      <c r="J177" s="488"/>
      <c r="K177" s="488"/>
      <c r="L177" s="488"/>
      <c r="M177" s="488"/>
      <c r="N177" s="488"/>
      <c r="O177" s="488"/>
      <c r="P177" s="488"/>
      <c r="Q177" s="488"/>
      <c r="R177" s="488"/>
      <c r="S177" s="488"/>
      <c r="T177" s="489"/>
    </row>
    <row r="178" spans="1:21" ht="20.25" customHeight="1" x14ac:dyDescent="0.35">
      <c r="A178" s="12"/>
      <c r="B178" s="32" t="s">
        <v>192</v>
      </c>
      <c r="E178" s="144"/>
      <c r="F178" s="140"/>
      <c r="G178" s="3"/>
      <c r="H178" s="3"/>
      <c r="I178" s="410">
        <v>126239</v>
      </c>
      <c r="J178" s="133">
        <v>126319</v>
      </c>
      <c r="K178" s="133">
        <v>126733</v>
      </c>
      <c r="L178" s="133">
        <v>126768</v>
      </c>
      <c r="M178" s="133">
        <v>126877</v>
      </c>
      <c r="N178" s="133">
        <v>127002</v>
      </c>
      <c r="O178" s="133">
        <v>127083</v>
      </c>
      <c r="P178" s="133">
        <v>127195</v>
      </c>
      <c r="Q178" s="133">
        <v>127391</v>
      </c>
      <c r="R178" s="133">
        <v>127215</v>
      </c>
      <c r="S178" s="134">
        <v>127288</v>
      </c>
      <c r="T178" s="338">
        <v>127267</v>
      </c>
    </row>
    <row r="179" spans="1:21" ht="23.25" customHeight="1" x14ac:dyDescent="0.35">
      <c r="A179" s="182"/>
      <c r="B179" s="183" t="s">
        <v>243</v>
      </c>
      <c r="C179" s="323"/>
      <c r="D179" s="291"/>
      <c r="E179" s="145"/>
      <c r="F179" s="141"/>
      <c r="G179" s="146"/>
      <c r="H179" s="146"/>
      <c r="I179" s="406">
        <f>I178/U179</f>
        <v>0.38708658616608305</v>
      </c>
      <c r="J179" s="406">
        <f>J178/U179</f>
        <v>0.38733189012835528</v>
      </c>
      <c r="K179" s="406">
        <f>K178/U179</f>
        <v>0.3886013381331142</v>
      </c>
      <c r="L179" s="406">
        <f>L178/U179</f>
        <v>0.3887086586166083</v>
      </c>
      <c r="M179" s="406">
        <f>M178/U179</f>
        <v>0.38904288526520425</v>
      </c>
      <c r="N179" s="406">
        <f>N178/U179</f>
        <v>0.38942617270625463</v>
      </c>
      <c r="O179" s="406">
        <f>O178/U179</f>
        <v>0.38967454296805532</v>
      </c>
      <c r="P179" s="406">
        <f>P178/U179</f>
        <v>0.39001796851523646</v>
      </c>
      <c r="Q179" s="406">
        <f>Q178/U179</f>
        <v>0.39061896322280348</v>
      </c>
      <c r="R179" s="406">
        <f>R178/U179</f>
        <v>0.39007929450580453</v>
      </c>
      <c r="S179" s="406">
        <f>S178/U179</f>
        <v>0.39030313437137792</v>
      </c>
      <c r="T179" s="406">
        <f>T178/U179</f>
        <v>0.39023874208128145</v>
      </c>
      <c r="U179" s="339">
        <v>326126</v>
      </c>
    </row>
    <row r="181" spans="1:21" ht="15" hidden="1" customHeight="1" x14ac:dyDescent="0.35">
      <c r="B181" s="75" t="s">
        <v>63</v>
      </c>
      <c r="C181" s="76"/>
      <c r="D181" s="292"/>
      <c r="E181" s="76"/>
      <c r="F181" s="76"/>
      <c r="G181" s="76"/>
      <c r="H181" s="76"/>
      <c r="I181" s="76"/>
      <c r="J181" s="76"/>
      <c r="K181" s="76"/>
      <c r="L181" s="76"/>
      <c r="M181" s="76"/>
      <c r="N181" s="367"/>
      <c r="O181" s="76"/>
      <c r="P181" s="76"/>
      <c r="Q181" s="76"/>
      <c r="R181" s="76"/>
      <c r="S181" s="76"/>
      <c r="T181" s="77"/>
    </row>
    <row r="182" spans="1:21" ht="12.5" hidden="1" x14ac:dyDescent="0.35">
      <c r="B182" s="184" t="s">
        <v>45</v>
      </c>
      <c r="C182" s="185"/>
      <c r="D182" s="293"/>
      <c r="E182" s="185"/>
      <c r="F182" s="185"/>
      <c r="G182" s="185"/>
      <c r="H182" s="185"/>
      <c r="I182" s="185"/>
      <c r="J182" s="185"/>
      <c r="K182" s="185"/>
      <c r="L182" s="185"/>
      <c r="M182" s="185"/>
      <c r="N182" s="368"/>
      <c r="O182" s="185"/>
      <c r="P182" s="185"/>
      <c r="Q182" s="185"/>
      <c r="R182" s="185"/>
      <c r="S182" s="185"/>
      <c r="T182" s="186"/>
    </row>
    <row r="183" spans="1:21" ht="15" hidden="1" customHeight="1" x14ac:dyDescent="0.35">
      <c r="B183" s="187" t="s">
        <v>52</v>
      </c>
      <c r="C183" s="324"/>
      <c r="D183" s="294"/>
      <c r="E183" s="188"/>
      <c r="F183" s="188"/>
      <c r="G183" s="188"/>
      <c r="H183" s="188"/>
      <c r="I183" s="188"/>
      <c r="J183" s="188"/>
      <c r="K183" s="188"/>
      <c r="L183" s="188"/>
      <c r="M183" s="188"/>
      <c r="N183" s="369"/>
      <c r="O183" s="188"/>
      <c r="P183" s="188"/>
      <c r="Q183" s="188"/>
      <c r="R183" s="188"/>
      <c r="S183" s="188"/>
      <c r="T183" s="189"/>
    </row>
    <row r="184" spans="1:21" ht="15" hidden="1" customHeight="1" x14ac:dyDescent="0.35">
      <c r="B184" s="5" t="s">
        <v>0</v>
      </c>
      <c r="C184" s="181"/>
      <c r="E184" s="78"/>
      <c r="F184" s="79" t="s">
        <v>70</v>
      </c>
      <c r="G184" s="80" t="e">
        <f>AVERAGE(I184:T184)</f>
        <v>#DIV/0!</v>
      </c>
      <c r="H184" s="80" t="e">
        <f>AVERAGE(J184:U184)</f>
        <v>#DIV/0!</v>
      </c>
      <c r="I184" s="7"/>
      <c r="J184" s="8"/>
      <c r="K184" s="8"/>
      <c r="L184" s="8"/>
      <c r="M184" s="8"/>
      <c r="N184" s="268"/>
      <c r="O184" s="8"/>
      <c r="P184" s="81"/>
      <c r="Q184" s="81"/>
      <c r="R184" s="81"/>
      <c r="S184" s="81"/>
      <c r="T184" s="82"/>
    </row>
    <row r="185" spans="1:21" ht="15" hidden="1" customHeight="1" x14ac:dyDescent="0.35">
      <c r="B185" s="18" t="s">
        <v>48</v>
      </c>
      <c r="C185" s="181"/>
      <c r="E185" s="78"/>
      <c r="F185" s="83" t="s">
        <v>71</v>
      </c>
      <c r="G185" s="84" t="e">
        <f>AVERAGE(I185:T185)</f>
        <v>#DIV/0!</v>
      </c>
      <c r="H185" s="84" t="e">
        <f>AVERAGE(J185:U185)</f>
        <v>#DIV/0!</v>
      </c>
      <c r="I185" s="85"/>
      <c r="J185" s="85"/>
      <c r="K185" s="85"/>
      <c r="L185" s="85"/>
      <c r="M185" s="85"/>
      <c r="N185" s="370"/>
      <c r="O185" s="85"/>
      <c r="P185" s="86"/>
      <c r="Q185" s="86"/>
      <c r="R185" s="86"/>
      <c r="S185" s="86"/>
      <c r="T185" s="87"/>
    </row>
    <row r="186" spans="1:21" ht="15" hidden="1" customHeight="1" x14ac:dyDescent="0.35">
      <c r="B186" s="18" t="s">
        <v>51</v>
      </c>
      <c r="C186" s="181"/>
      <c r="E186" s="78"/>
      <c r="F186" s="83" t="s">
        <v>72</v>
      </c>
      <c r="G186" s="84" t="e">
        <f>((ROUND(G184/G185,0)&amp;" : "&amp;"1"))</f>
        <v>#DIV/0!</v>
      </c>
      <c r="H186" s="84" t="e">
        <f>((ROUND(H184/H185,0)&amp;" : "&amp;"1"))</f>
        <v>#DIV/0!</v>
      </c>
      <c r="I186" s="85" t="e">
        <f>((ROUND(I184/I185,0)&amp;" : "&amp;"1"))</f>
        <v>#DIV/0!</v>
      </c>
      <c r="J186" s="85" t="e">
        <f t="shared" ref="J186:T186" si="24">((ROUND(J184/J185,0)&amp;" : "&amp;"1"))</f>
        <v>#DIV/0!</v>
      </c>
      <c r="K186" s="85" t="e">
        <f t="shared" si="24"/>
        <v>#DIV/0!</v>
      </c>
      <c r="L186" s="85" t="e">
        <f t="shared" si="24"/>
        <v>#DIV/0!</v>
      </c>
      <c r="M186" s="85" t="e">
        <f t="shared" si="24"/>
        <v>#DIV/0!</v>
      </c>
      <c r="N186" s="370" t="e">
        <f t="shared" si="24"/>
        <v>#DIV/0!</v>
      </c>
      <c r="O186" s="85" t="e">
        <f t="shared" si="24"/>
        <v>#DIV/0!</v>
      </c>
      <c r="P186" s="85" t="e">
        <f t="shared" si="24"/>
        <v>#DIV/0!</v>
      </c>
      <c r="Q186" s="85" t="e">
        <f t="shared" si="24"/>
        <v>#DIV/0!</v>
      </c>
      <c r="R186" s="85" t="e">
        <f t="shared" si="24"/>
        <v>#DIV/0!</v>
      </c>
      <c r="S186" s="85" t="e">
        <f t="shared" si="24"/>
        <v>#DIV/0!</v>
      </c>
      <c r="T186" s="87" t="e">
        <f t="shared" si="24"/>
        <v>#DIV/0!</v>
      </c>
    </row>
    <row r="187" spans="1:21" ht="15" hidden="1" customHeight="1" x14ac:dyDescent="0.35">
      <c r="B187" s="10" t="s">
        <v>50</v>
      </c>
      <c r="C187" s="181"/>
      <c r="E187" s="78"/>
      <c r="F187" s="88" t="s">
        <v>55</v>
      </c>
      <c r="G187" s="89" t="s">
        <v>55</v>
      </c>
      <c r="H187" s="89" t="s">
        <v>55</v>
      </c>
      <c r="I187" s="90" t="s">
        <v>55</v>
      </c>
      <c r="J187" s="90" t="s">
        <v>55</v>
      </c>
      <c r="K187" s="90" t="s">
        <v>55</v>
      </c>
      <c r="L187" s="90" t="s">
        <v>55</v>
      </c>
      <c r="M187" s="90" t="s">
        <v>55</v>
      </c>
      <c r="N187" s="371" t="s">
        <v>55</v>
      </c>
      <c r="O187" s="90" t="s">
        <v>55</v>
      </c>
      <c r="P187" s="90" t="s">
        <v>55</v>
      </c>
      <c r="Q187" s="90" t="s">
        <v>55</v>
      </c>
      <c r="R187" s="90" t="s">
        <v>55</v>
      </c>
      <c r="S187" s="90" t="s">
        <v>55</v>
      </c>
      <c r="T187" s="91" t="s">
        <v>55</v>
      </c>
    </row>
    <row r="188" spans="1:21" ht="15" hidden="1" customHeight="1" x14ac:dyDescent="0.35">
      <c r="B188" s="187" t="s">
        <v>61</v>
      </c>
      <c r="C188" s="324"/>
      <c r="D188" s="294"/>
      <c r="E188" s="92"/>
      <c r="F188" s="93"/>
      <c r="G188" s="93"/>
      <c r="H188" s="93"/>
      <c r="I188" s="93"/>
      <c r="J188" s="93"/>
      <c r="K188" s="93"/>
      <c r="L188" s="93"/>
      <c r="M188" s="93"/>
      <c r="N188" s="372"/>
      <c r="O188" s="93"/>
      <c r="P188" s="93"/>
      <c r="Q188" s="93"/>
      <c r="R188" s="93"/>
      <c r="S188" s="93"/>
      <c r="T188" s="94"/>
    </row>
    <row r="189" spans="1:21" ht="15" hidden="1" customHeight="1" x14ac:dyDescent="0.35">
      <c r="B189" s="5" t="s">
        <v>49</v>
      </c>
      <c r="C189" s="181"/>
      <c r="E189" s="78"/>
      <c r="F189" s="79" t="s">
        <v>73</v>
      </c>
      <c r="G189" s="95" t="e">
        <f>AVERAGE(I189:T189)</f>
        <v>#DIV/0!</v>
      </c>
      <c r="H189" s="95" t="e">
        <f>AVERAGE(J189:U189)</f>
        <v>#DIV/0!</v>
      </c>
      <c r="I189" s="96"/>
      <c r="J189" s="96"/>
      <c r="K189" s="96"/>
      <c r="L189" s="96"/>
      <c r="M189" s="96"/>
      <c r="N189" s="373"/>
      <c r="O189" s="96"/>
      <c r="P189" s="96"/>
      <c r="Q189" s="96"/>
      <c r="R189" s="81"/>
      <c r="S189" s="81"/>
      <c r="T189" s="82"/>
    </row>
    <row r="190" spans="1:21" ht="15" hidden="1" customHeight="1" x14ac:dyDescent="0.35">
      <c r="B190" s="18" t="s">
        <v>48</v>
      </c>
      <c r="C190" s="181"/>
      <c r="E190" s="78"/>
      <c r="F190" s="83" t="s">
        <v>74</v>
      </c>
      <c r="G190" s="97" t="e">
        <f>AVERAGE(I190:T190)</f>
        <v>#DIV/0!</v>
      </c>
      <c r="H190" s="97" t="e">
        <f>AVERAGE(J190:U190)</f>
        <v>#DIV/0!</v>
      </c>
      <c r="I190" s="98"/>
      <c r="J190" s="98"/>
      <c r="K190" s="98"/>
      <c r="L190" s="98"/>
      <c r="M190" s="98"/>
      <c r="N190" s="374"/>
      <c r="O190" s="98"/>
      <c r="P190" s="98"/>
      <c r="Q190" s="98"/>
      <c r="R190" s="86"/>
      <c r="S190" s="86"/>
      <c r="T190" s="87"/>
    </row>
    <row r="191" spans="1:21" ht="15" hidden="1" customHeight="1" x14ac:dyDescent="0.35">
      <c r="B191" s="18" t="s">
        <v>51</v>
      </c>
      <c r="C191" s="181"/>
      <c r="E191" s="78"/>
      <c r="F191" s="83" t="s">
        <v>75</v>
      </c>
      <c r="G191" s="97" t="e">
        <f>((ROUND(G189/G190,0)&amp;" : "&amp;"1"))</f>
        <v>#DIV/0!</v>
      </c>
      <c r="H191" s="97" t="e">
        <f>((ROUND(H189/H190,0)&amp;" : "&amp;"1"))</f>
        <v>#DIV/0!</v>
      </c>
      <c r="I191" s="98" t="s">
        <v>39</v>
      </c>
      <c r="J191" s="98" t="s">
        <v>39</v>
      </c>
      <c r="K191" s="86" t="e">
        <f t="shared" ref="K191:T191" si="25">((ROUND(K189/K190,0)&amp;" : "&amp;"1"))</f>
        <v>#DIV/0!</v>
      </c>
      <c r="L191" s="86" t="e">
        <f t="shared" si="25"/>
        <v>#DIV/0!</v>
      </c>
      <c r="M191" s="86" t="e">
        <f t="shared" si="25"/>
        <v>#DIV/0!</v>
      </c>
      <c r="N191" s="358" t="e">
        <f t="shared" si="25"/>
        <v>#DIV/0!</v>
      </c>
      <c r="O191" s="86" t="e">
        <f t="shared" si="25"/>
        <v>#DIV/0!</v>
      </c>
      <c r="P191" s="86" t="e">
        <f t="shared" si="25"/>
        <v>#DIV/0!</v>
      </c>
      <c r="Q191" s="86" t="e">
        <f t="shared" si="25"/>
        <v>#DIV/0!</v>
      </c>
      <c r="R191" s="86" t="e">
        <f t="shared" si="25"/>
        <v>#DIV/0!</v>
      </c>
      <c r="S191" s="86" t="e">
        <f t="shared" si="25"/>
        <v>#DIV/0!</v>
      </c>
      <c r="T191" s="87" t="e">
        <f t="shared" si="25"/>
        <v>#DIV/0!</v>
      </c>
    </row>
    <row r="192" spans="1:21" ht="15" hidden="1" customHeight="1" x14ac:dyDescent="0.35">
      <c r="B192" s="10" t="s">
        <v>50</v>
      </c>
      <c r="C192" s="181"/>
      <c r="E192" s="78"/>
      <c r="F192" s="88" t="s">
        <v>56</v>
      </c>
      <c r="G192" s="89" t="s">
        <v>56</v>
      </c>
      <c r="H192" s="89" t="s">
        <v>56</v>
      </c>
      <c r="I192" s="90" t="s">
        <v>56</v>
      </c>
      <c r="J192" s="90" t="s">
        <v>56</v>
      </c>
      <c r="K192" s="99" t="s">
        <v>56</v>
      </c>
      <c r="L192" s="99" t="s">
        <v>56</v>
      </c>
      <c r="M192" s="99" t="s">
        <v>56</v>
      </c>
      <c r="N192" s="41" t="s">
        <v>56</v>
      </c>
      <c r="O192" s="99" t="s">
        <v>56</v>
      </c>
      <c r="P192" s="99" t="s">
        <v>56</v>
      </c>
      <c r="Q192" s="99" t="s">
        <v>56</v>
      </c>
      <c r="R192" s="99" t="s">
        <v>56</v>
      </c>
      <c r="S192" s="99" t="s">
        <v>56</v>
      </c>
      <c r="T192" s="91" t="s">
        <v>56</v>
      </c>
    </row>
    <row r="193" spans="2:20" ht="15" hidden="1" customHeight="1" x14ac:dyDescent="0.35">
      <c r="B193" s="187" t="s">
        <v>53</v>
      </c>
      <c r="C193" s="324"/>
      <c r="D193" s="294"/>
      <c r="E193" s="92"/>
      <c r="F193" s="93"/>
      <c r="G193" s="93"/>
      <c r="H193" s="93"/>
      <c r="I193" s="93"/>
      <c r="J193" s="93"/>
      <c r="K193" s="93"/>
      <c r="L193" s="93"/>
      <c r="M193" s="93"/>
      <c r="N193" s="372"/>
      <c r="O193" s="93"/>
      <c r="P193" s="93"/>
      <c r="Q193" s="93"/>
      <c r="R193" s="93"/>
      <c r="S193" s="93"/>
      <c r="T193" s="94"/>
    </row>
    <row r="194" spans="2:20" ht="15" hidden="1" customHeight="1" x14ac:dyDescent="0.35">
      <c r="B194" s="5" t="s">
        <v>49</v>
      </c>
      <c r="C194" s="181"/>
      <c r="E194" s="78"/>
      <c r="F194" s="79" t="s">
        <v>76</v>
      </c>
      <c r="G194" s="80" t="e">
        <f>AVERAGE(I194:T194)</f>
        <v>#DIV/0!</v>
      </c>
      <c r="H194" s="80" t="e">
        <f>AVERAGE(J194:U194)</f>
        <v>#DIV/0!</v>
      </c>
      <c r="I194" s="100"/>
      <c r="J194" s="8"/>
      <c r="K194" s="8"/>
      <c r="L194" s="8"/>
      <c r="M194" s="8"/>
      <c r="N194" s="268"/>
      <c r="O194" s="8"/>
      <c r="P194" s="81"/>
      <c r="Q194" s="81"/>
      <c r="R194" s="81"/>
      <c r="S194" s="81"/>
      <c r="T194" s="82"/>
    </row>
    <row r="195" spans="2:20" ht="15" hidden="1" customHeight="1" x14ac:dyDescent="0.35">
      <c r="B195" s="18" t="s">
        <v>48</v>
      </c>
      <c r="C195" s="181"/>
      <c r="E195" s="78"/>
      <c r="F195" s="83" t="s">
        <v>77</v>
      </c>
      <c r="G195" s="84" t="e">
        <f>AVERAGE(I195:T195)</f>
        <v>#DIV/0!</v>
      </c>
      <c r="H195" s="84" t="e">
        <f>AVERAGE(J195:U195)</f>
        <v>#DIV/0!</v>
      </c>
      <c r="I195" s="101"/>
      <c r="J195" s="16"/>
      <c r="K195" s="86"/>
      <c r="L195" s="16"/>
      <c r="M195" s="16"/>
      <c r="N195" s="358"/>
      <c r="O195" s="16"/>
      <c r="P195" s="86"/>
      <c r="Q195" s="86"/>
      <c r="R195" s="86"/>
      <c r="S195" s="86"/>
      <c r="T195" s="87"/>
    </row>
    <row r="196" spans="2:20" ht="15" hidden="1" customHeight="1" x14ac:dyDescent="0.35">
      <c r="B196" s="18" t="s">
        <v>51</v>
      </c>
      <c r="C196" s="181"/>
      <c r="E196" s="78"/>
      <c r="F196" s="83" t="s">
        <v>78</v>
      </c>
      <c r="G196" s="84" t="e">
        <f>((ROUND(G194/G195,0)&amp;" : "&amp;"1"))</f>
        <v>#DIV/0!</v>
      </c>
      <c r="H196" s="84" t="e">
        <f>((ROUND(H194/H195,0)&amp;" : "&amp;"1"))</f>
        <v>#DIV/0!</v>
      </c>
      <c r="I196" s="85" t="e">
        <f>((ROUND(I194/I195,0)&amp;" : "&amp;"1"))</f>
        <v>#DIV/0!</v>
      </c>
      <c r="J196" s="85" t="e">
        <f t="shared" ref="J196:P196" si="26">((ROUND(J194/J195,0)&amp;" : "&amp;"1"))</f>
        <v>#DIV/0!</v>
      </c>
      <c r="K196" s="85" t="e">
        <f t="shared" si="26"/>
        <v>#DIV/0!</v>
      </c>
      <c r="L196" s="85" t="e">
        <f t="shared" si="26"/>
        <v>#DIV/0!</v>
      </c>
      <c r="M196" s="85" t="e">
        <f t="shared" si="26"/>
        <v>#DIV/0!</v>
      </c>
      <c r="N196" s="370" t="e">
        <f t="shared" si="26"/>
        <v>#DIV/0!</v>
      </c>
      <c r="O196" s="85" t="e">
        <f t="shared" si="26"/>
        <v>#DIV/0!</v>
      </c>
      <c r="P196" s="85" t="e">
        <f t="shared" si="26"/>
        <v>#DIV/0!</v>
      </c>
      <c r="Q196" s="85" t="e">
        <f>((ROUND(Q194/Q195,0)&amp;" : "&amp;"1"))</f>
        <v>#DIV/0!</v>
      </c>
      <c r="R196" s="85" t="e">
        <f>((ROUND(R194/R195,0)&amp;" : "&amp;"1"))</f>
        <v>#DIV/0!</v>
      </c>
      <c r="S196" s="85" t="e">
        <f>((ROUND(S194/S195,0)&amp;" : "&amp;"1"))</f>
        <v>#DIV/0!</v>
      </c>
      <c r="T196" s="102" t="e">
        <f>((ROUND(T194/T195,0)&amp;" : "&amp;"1"))</f>
        <v>#DIV/0!</v>
      </c>
    </row>
    <row r="197" spans="2:20" ht="15" hidden="1" customHeight="1" x14ac:dyDescent="0.35">
      <c r="B197" s="10" t="s">
        <v>50</v>
      </c>
      <c r="C197" s="181"/>
      <c r="E197" s="78"/>
      <c r="F197" s="88" t="s">
        <v>56</v>
      </c>
      <c r="G197" s="89" t="s">
        <v>56</v>
      </c>
      <c r="H197" s="89" t="s">
        <v>56</v>
      </c>
      <c r="I197" s="90" t="s">
        <v>56</v>
      </c>
      <c r="J197" s="90" t="s">
        <v>56</v>
      </c>
      <c r="K197" s="90" t="s">
        <v>56</v>
      </c>
      <c r="L197" s="90" t="s">
        <v>56</v>
      </c>
      <c r="M197" s="90" t="s">
        <v>56</v>
      </c>
      <c r="N197" s="371" t="s">
        <v>56</v>
      </c>
      <c r="O197" s="90" t="s">
        <v>56</v>
      </c>
      <c r="P197" s="90" t="s">
        <v>56</v>
      </c>
      <c r="Q197" s="90" t="s">
        <v>56</v>
      </c>
      <c r="R197" s="90" t="s">
        <v>56</v>
      </c>
      <c r="S197" s="90" t="s">
        <v>56</v>
      </c>
      <c r="T197" s="103" t="s">
        <v>56</v>
      </c>
    </row>
    <row r="198" spans="2:20" ht="12.5" hidden="1" x14ac:dyDescent="0.35">
      <c r="B198" s="184" t="s">
        <v>54</v>
      </c>
      <c r="C198" s="185"/>
      <c r="D198" s="293"/>
      <c r="E198" s="104"/>
      <c r="F198" s="105"/>
      <c r="G198" s="105"/>
      <c r="H198" s="105"/>
      <c r="I198" s="105"/>
      <c r="J198" s="105"/>
      <c r="K198" s="105"/>
      <c r="L198" s="105"/>
      <c r="M198" s="105"/>
      <c r="N198" s="375"/>
      <c r="O198" s="105"/>
      <c r="P198" s="105"/>
      <c r="Q198" s="105"/>
      <c r="R198" s="105"/>
      <c r="S198" s="105"/>
      <c r="T198" s="106"/>
    </row>
    <row r="199" spans="2:20" ht="15" hidden="1" customHeight="1" x14ac:dyDescent="0.35">
      <c r="B199" s="187" t="s">
        <v>46</v>
      </c>
      <c r="C199" s="324"/>
      <c r="D199" s="294"/>
      <c r="E199" s="92"/>
      <c r="F199" s="93"/>
      <c r="G199" s="93"/>
      <c r="H199" s="93"/>
      <c r="I199" s="93"/>
      <c r="J199" s="93"/>
      <c r="K199" s="93"/>
      <c r="L199" s="93"/>
      <c r="M199" s="93"/>
      <c r="N199" s="372"/>
      <c r="O199" s="93"/>
      <c r="P199" s="93"/>
      <c r="Q199" s="93"/>
      <c r="R199" s="93"/>
      <c r="S199" s="93"/>
      <c r="T199" s="94"/>
    </row>
    <row r="200" spans="2:20" ht="15" hidden="1" customHeight="1" x14ac:dyDescent="0.35">
      <c r="B200" s="5" t="s">
        <v>49</v>
      </c>
      <c r="C200" s="181"/>
      <c r="E200" s="78"/>
      <c r="F200" s="79" t="s">
        <v>79</v>
      </c>
      <c r="G200" s="80" t="e">
        <f>AVERAGE(I200:T200)</f>
        <v>#DIV/0!</v>
      </c>
      <c r="H200" s="80" t="e">
        <f>AVERAGE(J200:U200)</f>
        <v>#DIV/0!</v>
      </c>
      <c r="I200" s="100"/>
      <c r="J200" s="8"/>
      <c r="K200" s="8"/>
      <c r="L200" s="8"/>
      <c r="M200" s="8"/>
      <c r="N200" s="268"/>
      <c r="O200" s="8"/>
      <c r="P200" s="81"/>
      <c r="Q200" s="81"/>
      <c r="R200" s="81"/>
      <c r="S200" s="81"/>
      <c r="T200" s="82"/>
    </row>
    <row r="201" spans="2:20" ht="15" hidden="1" customHeight="1" x14ac:dyDescent="0.35">
      <c r="B201" s="18" t="s">
        <v>48</v>
      </c>
      <c r="C201" s="181"/>
      <c r="E201" s="78"/>
      <c r="F201" s="83" t="s">
        <v>80</v>
      </c>
      <c r="G201" s="84" t="e">
        <f>AVERAGE(I201:T201)</f>
        <v>#DIV/0!</v>
      </c>
      <c r="H201" s="84" t="e">
        <f>AVERAGE(J201:U201)</f>
        <v>#DIV/0!</v>
      </c>
      <c r="I201" s="85"/>
      <c r="J201" s="86"/>
      <c r="K201" s="86"/>
      <c r="L201" s="86"/>
      <c r="M201" s="86"/>
      <c r="N201" s="358"/>
      <c r="O201" s="86"/>
      <c r="P201" s="86"/>
      <c r="Q201" s="86"/>
      <c r="R201" s="86"/>
      <c r="S201" s="86"/>
      <c r="T201" s="87"/>
    </row>
    <row r="202" spans="2:20" ht="15" hidden="1" customHeight="1" x14ac:dyDescent="0.35">
      <c r="B202" s="18" t="s">
        <v>51</v>
      </c>
      <c r="C202" s="181"/>
      <c r="E202" s="78"/>
      <c r="F202" s="83" t="s">
        <v>81</v>
      </c>
      <c r="G202" s="84" t="e">
        <f>((ROUND(G200/G201,0)&amp;" : "&amp;"1"))</f>
        <v>#DIV/0!</v>
      </c>
      <c r="H202" s="84" t="e">
        <f>((ROUND(H200/H201,0)&amp;" : "&amp;"1"))</f>
        <v>#DIV/0!</v>
      </c>
      <c r="I202" s="85" t="e">
        <f>((ROUND(I200/I201,0)&amp;" : "&amp;"1"))</f>
        <v>#DIV/0!</v>
      </c>
      <c r="J202" s="85" t="e">
        <f t="shared" ref="J202:T202" si="27">((ROUND(J200/J201,0)&amp;" : "&amp;"1"))</f>
        <v>#DIV/0!</v>
      </c>
      <c r="K202" s="85" t="e">
        <f t="shared" si="27"/>
        <v>#DIV/0!</v>
      </c>
      <c r="L202" s="85" t="e">
        <f t="shared" si="27"/>
        <v>#DIV/0!</v>
      </c>
      <c r="M202" s="85" t="e">
        <f t="shared" si="27"/>
        <v>#DIV/0!</v>
      </c>
      <c r="N202" s="370" t="e">
        <f t="shared" si="27"/>
        <v>#DIV/0!</v>
      </c>
      <c r="O202" s="85" t="e">
        <f t="shared" si="27"/>
        <v>#DIV/0!</v>
      </c>
      <c r="P202" s="85" t="e">
        <f t="shared" si="27"/>
        <v>#DIV/0!</v>
      </c>
      <c r="Q202" s="85" t="e">
        <f t="shared" si="27"/>
        <v>#DIV/0!</v>
      </c>
      <c r="R202" s="85" t="e">
        <f t="shared" si="27"/>
        <v>#DIV/0!</v>
      </c>
      <c r="S202" s="85" t="e">
        <f t="shared" si="27"/>
        <v>#DIV/0!</v>
      </c>
      <c r="T202" s="102" t="e">
        <f t="shared" si="27"/>
        <v>#DIV/0!</v>
      </c>
    </row>
    <row r="203" spans="2:20" ht="15" hidden="1" customHeight="1" x14ac:dyDescent="0.35">
      <c r="B203" s="10" t="s">
        <v>50</v>
      </c>
      <c r="C203" s="181"/>
      <c r="E203" s="78"/>
      <c r="F203" s="88" t="s">
        <v>57</v>
      </c>
      <c r="G203" s="89" t="s">
        <v>57</v>
      </c>
      <c r="H203" s="89" t="s">
        <v>57</v>
      </c>
      <c r="I203" s="90" t="s">
        <v>57</v>
      </c>
      <c r="J203" s="90" t="s">
        <v>57</v>
      </c>
      <c r="K203" s="90" t="s">
        <v>57</v>
      </c>
      <c r="L203" s="90" t="s">
        <v>57</v>
      </c>
      <c r="M203" s="90" t="s">
        <v>57</v>
      </c>
      <c r="N203" s="371" t="s">
        <v>57</v>
      </c>
      <c r="O203" s="90" t="s">
        <v>57</v>
      </c>
      <c r="P203" s="90" t="s">
        <v>57</v>
      </c>
      <c r="Q203" s="90" t="s">
        <v>57</v>
      </c>
      <c r="R203" s="90" t="s">
        <v>57</v>
      </c>
      <c r="S203" s="90" t="s">
        <v>57</v>
      </c>
      <c r="T203" s="103" t="s">
        <v>57</v>
      </c>
    </row>
    <row r="204" spans="2:20" ht="15" hidden="1" customHeight="1" x14ac:dyDescent="0.35">
      <c r="B204" s="187" t="s">
        <v>47</v>
      </c>
      <c r="C204" s="324"/>
      <c r="D204" s="294"/>
      <c r="E204" s="92"/>
      <c r="F204" s="93"/>
      <c r="G204" s="93"/>
      <c r="H204" s="93"/>
      <c r="I204" s="93"/>
      <c r="J204" s="93"/>
      <c r="K204" s="93"/>
      <c r="L204" s="93"/>
      <c r="M204" s="93"/>
      <c r="N204" s="372"/>
      <c r="O204" s="93"/>
      <c r="P204" s="93"/>
      <c r="Q204" s="93"/>
      <c r="R204" s="93"/>
      <c r="S204" s="93"/>
      <c r="T204" s="94"/>
    </row>
    <row r="205" spans="2:20" ht="15" hidden="1" customHeight="1" x14ac:dyDescent="0.35">
      <c r="B205" s="5" t="s">
        <v>49</v>
      </c>
      <c r="C205" s="181"/>
      <c r="E205" s="78"/>
      <c r="F205" s="79" t="s">
        <v>82</v>
      </c>
      <c r="G205" s="80" t="e">
        <f>AVERAGE(I205:T205)</f>
        <v>#DIV/0!</v>
      </c>
      <c r="H205" s="80" t="e">
        <f>AVERAGE(J205:U205)</f>
        <v>#DIV/0!</v>
      </c>
      <c r="I205" s="107"/>
      <c r="J205" s="81"/>
      <c r="K205" s="81"/>
      <c r="L205" s="81"/>
      <c r="M205" s="81"/>
      <c r="N205" s="268"/>
      <c r="O205" s="81"/>
      <c r="P205" s="81"/>
      <c r="Q205" s="81"/>
      <c r="R205" s="81"/>
      <c r="S205" s="81"/>
      <c r="T205" s="82"/>
    </row>
    <row r="206" spans="2:20" ht="15" hidden="1" customHeight="1" x14ac:dyDescent="0.35">
      <c r="B206" s="18" t="s">
        <v>48</v>
      </c>
      <c r="C206" s="181"/>
      <c r="E206" s="78"/>
      <c r="F206" s="83" t="s">
        <v>83</v>
      </c>
      <c r="G206" s="84" t="e">
        <f>AVERAGE(I206:T206)</f>
        <v>#DIV/0!</v>
      </c>
      <c r="H206" s="84" t="e">
        <f>AVERAGE(J206:U206)</f>
        <v>#DIV/0!</v>
      </c>
      <c r="I206" s="85"/>
      <c r="J206" s="86"/>
      <c r="K206" s="86"/>
      <c r="L206" s="86"/>
      <c r="M206" s="86"/>
      <c r="N206" s="358"/>
      <c r="O206" s="86"/>
      <c r="P206" s="86"/>
      <c r="Q206" s="86"/>
      <c r="R206" s="86"/>
      <c r="S206" s="86"/>
      <c r="T206" s="87"/>
    </row>
    <row r="207" spans="2:20" ht="15" hidden="1" customHeight="1" x14ac:dyDescent="0.35">
      <c r="B207" s="18" t="s">
        <v>51</v>
      </c>
      <c r="C207" s="181"/>
      <c r="E207" s="78"/>
      <c r="F207" s="83" t="s">
        <v>78</v>
      </c>
      <c r="G207" s="84" t="e">
        <f>((ROUND(G205/G206,0)&amp;" : "&amp;"1"))</f>
        <v>#DIV/0!</v>
      </c>
      <c r="H207" s="84" t="e">
        <f>((ROUND(H205/H206,0)&amp;" : "&amp;"1"))</f>
        <v>#DIV/0!</v>
      </c>
      <c r="I207" s="85" t="e">
        <f>((ROUND(I205/I206,0)&amp;" : "&amp;"1"))</f>
        <v>#DIV/0!</v>
      </c>
      <c r="J207" s="85" t="e">
        <f t="shared" ref="J207:T207" si="28">((ROUND(J205/J206,0)&amp;" : "&amp;"1"))</f>
        <v>#DIV/0!</v>
      </c>
      <c r="K207" s="85" t="e">
        <f t="shared" si="28"/>
        <v>#DIV/0!</v>
      </c>
      <c r="L207" s="85" t="e">
        <f t="shared" si="28"/>
        <v>#DIV/0!</v>
      </c>
      <c r="M207" s="85" t="e">
        <f t="shared" si="28"/>
        <v>#DIV/0!</v>
      </c>
      <c r="N207" s="370" t="e">
        <f t="shared" si="28"/>
        <v>#DIV/0!</v>
      </c>
      <c r="O207" s="85" t="e">
        <f t="shared" si="28"/>
        <v>#DIV/0!</v>
      </c>
      <c r="P207" s="85" t="e">
        <f t="shared" si="28"/>
        <v>#DIV/0!</v>
      </c>
      <c r="Q207" s="85" t="e">
        <f t="shared" si="28"/>
        <v>#DIV/0!</v>
      </c>
      <c r="R207" s="85" t="e">
        <f t="shared" si="28"/>
        <v>#DIV/0!</v>
      </c>
      <c r="S207" s="85" t="e">
        <f t="shared" si="28"/>
        <v>#DIV/0!</v>
      </c>
      <c r="T207" s="102" t="e">
        <f t="shared" si="28"/>
        <v>#DIV/0!</v>
      </c>
    </row>
    <row r="208" spans="2:20" ht="15" hidden="1" customHeight="1" x14ac:dyDescent="0.35">
      <c r="B208" s="190" t="s">
        <v>50</v>
      </c>
      <c r="C208" s="318"/>
      <c r="D208" s="289"/>
      <c r="E208" s="108"/>
      <c r="F208" s="109" t="s">
        <v>57</v>
      </c>
      <c r="G208" s="110" t="s">
        <v>57</v>
      </c>
      <c r="H208" s="110" t="s">
        <v>57</v>
      </c>
      <c r="I208" s="111" t="s">
        <v>57</v>
      </c>
      <c r="J208" s="111" t="s">
        <v>57</v>
      </c>
      <c r="K208" s="111" t="s">
        <v>57</v>
      </c>
      <c r="L208" s="111" t="s">
        <v>57</v>
      </c>
      <c r="M208" s="111" t="s">
        <v>57</v>
      </c>
      <c r="N208" s="376" t="s">
        <v>57</v>
      </c>
      <c r="O208" s="111" t="s">
        <v>57</v>
      </c>
      <c r="P208" s="111" t="s">
        <v>57</v>
      </c>
      <c r="Q208" s="111" t="s">
        <v>57</v>
      </c>
      <c r="R208" s="111" t="s">
        <v>57</v>
      </c>
      <c r="S208" s="111" t="s">
        <v>57</v>
      </c>
      <c r="T208" s="112" t="s">
        <v>57</v>
      </c>
    </row>
    <row r="209" spans="2:20" ht="12.5" hidden="1" x14ac:dyDescent="0.35">
      <c r="B209" s="184" t="s">
        <v>23</v>
      </c>
      <c r="C209" s="185"/>
      <c r="D209" s="293"/>
      <c r="E209" s="104"/>
      <c r="F209" s="105"/>
      <c r="G209" s="104"/>
      <c r="H209" s="104"/>
      <c r="I209" s="104"/>
      <c r="J209" s="104"/>
      <c r="K209" s="104"/>
      <c r="L209" s="104"/>
      <c r="M209" s="104"/>
      <c r="N209" s="377"/>
      <c r="O209" s="104"/>
      <c r="P209" s="104"/>
      <c r="Q209" s="104"/>
      <c r="R209" s="104"/>
      <c r="S209" s="104"/>
      <c r="T209" s="113"/>
    </row>
    <row r="210" spans="2:20" ht="15" hidden="1" customHeight="1" x14ac:dyDescent="0.35">
      <c r="B210" s="187" t="s">
        <v>24</v>
      </c>
      <c r="C210" s="324"/>
      <c r="D210" s="294"/>
      <c r="E210" s="92"/>
      <c r="F210" s="93"/>
      <c r="G210" s="92"/>
      <c r="H210" s="92"/>
      <c r="I210" s="92"/>
      <c r="J210" s="92"/>
      <c r="K210" s="92"/>
      <c r="L210" s="92"/>
      <c r="M210" s="92"/>
      <c r="N210" s="378"/>
      <c r="O210" s="92"/>
      <c r="P210" s="92"/>
      <c r="Q210" s="92"/>
      <c r="R210" s="92"/>
      <c r="S210" s="92"/>
      <c r="T210" s="114"/>
    </row>
    <row r="211" spans="2:20" ht="15" hidden="1" customHeight="1" x14ac:dyDescent="0.35">
      <c r="B211" s="5" t="s">
        <v>49</v>
      </c>
      <c r="C211" s="181"/>
      <c r="E211" s="78"/>
      <c r="F211" s="79" t="s">
        <v>84</v>
      </c>
      <c r="G211" s="80" t="e">
        <f>AVERAGE(I211:T211)</f>
        <v>#DIV/0!</v>
      </c>
      <c r="H211" s="80" t="e">
        <f>AVERAGE(J211:U211)</f>
        <v>#DIV/0!</v>
      </c>
      <c r="I211" s="107"/>
      <c r="J211" s="81"/>
      <c r="K211" s="81"/>
      <c r="L211" s="81"/>
      <c r="M211" s="81"/>
      <c r="N211" s="268"/>
      <c r="O211" s="81"/>
      <c r="P211" s="81"/>
      <c r="Q211" s="81"/>
      <c r="R211" s="81"/>
      <c r="S211" s="81"/>
      <c r="T211" s="82"/>
    </row>
    <row r="212" spans="2:20" ht="15" hidden="1" customHeight="1" x14ac:dyDescent="0.35">
      <c r="B212" s="18" t="s">
        <v>48</v>
      </c>
      <c r="C212" s="181"/>
      <c r="E212" s="78"/>
      <c r="F212" s="83" t="s">
        <v>67</v>
      </c>
      <c r="G212" s="84" t="e">
        <f>AVERAGE(I212:T212)</f>
        <v>#DIV/0!</v>
      </c>
      <c r="H212" s="84" t="e">
        <f>AVERAGE(J212:U212)</f>
        <v>#DIV/0!</v>
      </c>
      <c r="I212" s="85"/>
      <c r="J212" s="86"/>
      <c r="K212" s="86"/>
      <c r="L212" s="86"/>
      <c r="M212" s="86"/>
      <c r="N212" s="358"/>
      <c r="O212" s="86"/>
      <c r="P212" s="86"/>
      <c r="Q212" s="86"/>
      <c r="R212" s="86"/>
      <c r="S212" s="86"/>
      <c r="T212" s="87"/>
    </row>
    <row r="213" spans="2:20" ht="15" hidden="1" customHeight="1" x14ac:dyDescent="0.35">
      <c r="B213" s="18" t="s">
        <v>51</v>
      </c>
      <c r="C213" s="181"/>
      <c r="E213" s="78"/>
      <c r="F213" s="83" t="s">
        <v>85</v>
      </c>
      <c r="G213" s="84" t="e">
        <f>((ROUND(G211/G212,0)&amp;" : "&amp;"1"))</f>
        <v>#DIV/0!</v>
      </c>
      <c r="H213" s="84" t="e">
        <f>((ROUND(H211/H212,0)&amp;" : "&amp;"1"))</f>
        <v>#DIV/0!</v>
      </c>
      <c r="I213" s="85" t="e">
        <f>((ROUND(I211/I212,0)&amp;" : "&amp;"1"))</f>
        <v>#DIV/0!</v>
      </c>
      <c r="J213" s="85" t="e">
        <f t="shared" ref="J213:T213" si="29">((ROUND(J211/J212,0)&amp;" : "&amp;"1"))</f>
        <v>#DIV/0!</v>
      </c>
      <c r="K213" s="85" t="e">
        <f t="shared" si="29"/>
        <v>#DIV/0!</v>
      </c>
      <c r="L213" s="85" t="e">
        <f t="shared" si="29"/>
        <v>#DIV/0!</v>
      </c>
      <c r="M213" s="85" t="e">
        <f t="shared" si="29"/>
        <v>#DIV/0!</v>
      </c>
      <c r="N213" s="370" t="e">
        <f t="shared" si="29"/>
        <v>#DIV/0!</v>
      </c>
      <c r="O213" s="85" t="e">
        <f t="shared" si="29"/>
        <v>#DIV/0!</v>
      </c>
      <c r="P213" s="85" t="e">
        <f t="shared" si="29"/>
        <v>#DIV/0!</v>
      </c>
      <c r="Q213" s="85" t="e">
        <f t="shared" si="29"/>
        <v>#DIV/0!</v>
      </c>
      <c r="R213" s="85" t="e">
        <f t="shared" si="29"/>
        <v>#DIV/0!</v>
      </c>
      <c r="S213" s="85" t="e">
        <f t="shared" si="29"/>
        <v>#DIV/0!</v>
      </c>
      <c r="T213" s="87" t="e">
        <f t="shared" si="29"/>
        <v>#DIV/0!</v>
      </c>
    </row>
    <row r="214" spans="2:20" ht="15" hidden="1" customHeight="1" x14ac:dyDescent="0.35">
      <c r="B214" s="10" t="s">
        <v>50</v>
      </c>
      <c r="C214" s="181"/>
      <c r="E214" s="78"/>
      <c r="F214" s="88" t="s">
        <v>58</v>
      </c>
      <c r="G214" s="115" t="s">
        <v>58</v>
      </c>
      <c r="H214" s="115" t="s">
        <v>58</v>
      </c>
      <c r="I214" s="116" t="s">
        <v>58</v>
      </c>
      <c r="J214" s="116" t="s">
        <v>58</v>
      </c>
      <c r="K214" s="116" t="s">
        <v>58</v>
      </c>
      <c r="L214" s="116" t="s">
        <v>58</v>
      </c>
      <c r="M214" s="116" t="s">
        <v>58</v>
      </c>
      <c r="N214" s="371" t="s">
        <v>58</v>
      </c>
      <c r="O214" s="116" t="s">
        <v>58</v>
      </c>
      <c r="P214" s="116" t="s">
        <v>58</v>
      </c>
      <c r="Q214" s="116" t="s">
        <v>58</v>
      </c>
      <c r="R214" s="116" t="s">
        <v>58</v>
      </c>
      <c r="S214" s="116" t="s">
        <v>58</v>
      </c>
      <c r="T214" s="117" t="s">
        <v>58</v>
      </c>
    </row>
    <row r="215" spans="2:20" ht="15" hidden="1" customHeight="1" x14ac:dyDescent="0.35">
      <c r="B215" s="187" t="s">
        <v>36</v>
      </c>
      <c r="C215" s="324"/>
      <c r="D215" s="294"/>
      <c r="E215" s="92"/>
      <c r="F215" s="93"/>
      <c r="G215" s="92"/>
      <c r="H215" s="92"/>
      <c r="I215" s="92"/>
      <c r="J215" s="92"/>
      <c r="K215" s="92"/>
      <c r="L215" s="92"/>
      <c r="M215" s="92"/>
      <c r="N215" s="378"/>
      <c r="O215" s="92"/>
      <c r="P215" s="92"/>
      <c r="Q215" s="92"/>
      <c r="R215" s="92"/>
      <c r="S215" s="92"/>
      <c r="T215" s="114"/>
    </row>
    <row r="216" spans="2:20" ht="15" hidden="1" customHeight="1" x14ac:dyDescent="0.35">
      <c r="B216" s="5" t="s">
        <v>49</v>
      </c>
      <c r="C216" s="181"/>
      <c r="E216" s="78"/>
      <c r="F216" s="79" t="s">
        <v>86</v>
      </c>
      <c r="G216" s="80" t="e">
        <f>AVERAGE(I216:T216)</f>
        <v>#DIV/0!</v>
      </c>
      <c r="H216" s="80" t="e">
        <f>AVERAGE(J216:U216)</f>
        <v>#DIV/0!</v>
      </c>
      <c r="I216" s="107"/>
      <c r="J216" s="81"/>
      <c r="K216" s="81"/>
      <c r="L216" s="81"/>
      <c r="M216" s="81"/>
      <c r="N216" s="268"/>
      <c r="O216" s="81"/>
      <c r="P216" s="81"/>
      <c r="Q216" s="81"/>
      <c r="R216" s="81"/>
      <c r="S216" s="81"/>
      <c r="T216" s="82"/>
    </row>
    <row r="217" spans="2:20" ht="15" hidden="1" customHeight="1" x14ac:dyDescent="0.35">
      <c r="B217" s="18" t="s">
        <v>48</v>
      </c>
      <c r="C217" s="181"/>
      <c r="E217" s="78"/>
      <c r="F217" s="83" t="s">
        <v>87</v>
      </c>
      <c r="G217" s="84" t="e">
        <f>AVERAGE(I217:T217)</f>
        <v>#DIV/0!</v>
      </c>
      <c r="H217" s="84" t="e">
        <f>AVERAGE(J217:U217)</f>
        <v>#DIV/0!</v>
      </c>
      <c r="I217" s="85"/>
      <c r="J217" s="86"/>
      <c r="K217" s="86"/>
      <c r="L217" s="86"/>
      <c r="M217" s="86"/>
      <c r="N217" s="358"/>
      <c r="O217" s="86"/>
      <c r="P217" s="86"/>
      <c r="Q217" s="86"/>
      <c r="R217" s="86"/>
      <c r="S217" s="86"/>
      <c r="T217" s="87"/>
    </row>
    <row r="218" spans="2:20" ht="15" hidden="1" customHeight="1" x14ac:dyDescent="0.35">
      <c r="B218" s="18" t="s">
        <v>51</v>
      </c>
      <c r="C218" s="181"/>
      <c r="E218" s="78"/>
      <c r="F218" s="83" t="s">
        <v>58</v>
      </c>
      <c r="G218" s="84" t="e">
        <f>((ROUND(G216/G217,0)&amp;" : "&amp;"1"))</f>
        <v>#DIV/0!</v>
      </c>
      <c r="H218" s="84" t="e">
        <f>((ROUND(H216/H217,0)&amp;" : "&amp;"1"))</f>
        <v>#DIV/0!</v>
      </c>
      <c r="I218" s="85" t="e">
        <f>((ROUND(I216/I217,0)&amp;" : "&amp;"1"))</f>
        <v>#DIV/0!</v>
      </c>
      <c r="J218" s="85" t="e">
        <f t="shared" ref="J218:T218" si="30">((ROUND(J216/J217,0)&amp;" : "&amp;"1"))</f>
        <v>#DIV/0!</v>
      </c>
      <c r="K218" s="85" t="e">
        <f t="shared" si="30"/>
        <v>#DIV/0!</v>
      </c>
      <c r="L218" s="85" t="e">
        <f t="shared" si="30"/>
        <v>#DIV/0!</v>
      </c>
      <c r="M218" s="85" t="e">
        <f t="shared" si="30"/>
        <v>#DIV/0!</v>
      </c>
      <c r="N218" s="370" t="e">
        <f t="shared" si="30"/>
        <v>#DIV/0!</v>
      </c>
      <c r="O218" s="85" t="e">
        <f t="shared" si="30"/>
        <v>#DIV/0!</v>
      </c>
      <c r="P218" s="85" t="e">
        <f t="shared" si="30"/>
        <v>#DIV/0!</v>
      </c>
      <c r="Q218" s="85" t="e">
        <f t="shared" si="30"/>
        <v>#DIV/0!</v>
      </c>
      <c r="R218" s="85" t="e">
        <f t="shared" si="30"/>
        <v>#DIV/0!</v>
      </c>
      <c r="S218" s="85" t="e">
        <f t="shared" si="30"/>
        <v>#DIV/0!</v>
      </c>
      <c r="T218" s="87" t="e">
        <f t="shared" si="30"/>
        <v>#DIV/0!</v>
      </c>
    </row>
    <row r="219" spans="2:20" ht="15" hidden="1" customHeight="1" x14ac:dyDescent="0.35">
      <c r="B219" s="10" t="s">
        <v>50</v>
      </c>
      <c r="C219" s="181"/>
      <c r="E219" s="78"/>
      <c r="F219" s="88" t="s">
        <v>59</v>
      </c>
      <c r="G219" s="115" t="s">
        <v>59</v>
      </c>
      <c r="H219" s="115" t="s">
        <v>59</v>
      </c>
      <c r="I219" s="116" t="s">
        <v>59</v>
      </c>
      <c r="J219" s="116" t="s">
        <v>59</v>
      </c>
      <c r="K219" s="116" t="s">
        <v>59</v>
      </c>
      <c r="L219" s="116" t="s">
        <v>59</v>
      </c>
      <c r="M219" s="116" t="s">
        <v>59</v>
      </c>
      <c r="N219" s="371" t="s">
        <v>59</v>
      </c>
      <c r="O219" s="116" t="s">
        <v>59</v>
      </c>
      <c r="P219" s="116" t="s">
        <v>59</v>
      </c>
      <c r="Q219" s="116" t="s">
        <v>59</v>
      </c>
      <c r="R219" s="116" t="s">
        <v>59</v>
      </c>
      <c r="S219" s="116" t="s">
        <v>59</v>
      </c>
      <c r="T219" s="117" t="s">
        <v>59</v>
      </c>
    </row>
    <row r="220" spans="2:20" ht="15" hidden="1" customHeight="1" x14ac:dyDescent="0.35">
      <c r="B220" s="187" t="s">
        <v>66</v>
      </c>
      <c r="C220" s="324"/>
      <c r="D220" s="294"/>
      <c r="E220" s="92"/>
      <c r="F220" s="93"/>
      <c r="G220" s="92"/>
      <c r="H220" s="92"/>
      <c r="I220" s="92"/>
      <c r="J220" s="92"/>
      <c r="K220" s="92"/>
      <c r="L220" s="92"/>
      <c r="M220" s="92"/>
      <c r="N220" s="378"/>
      <c r="O220" s="92"/>
      <c r="P220" s="92"/>
      <c r="Q220" s="92"/>
      <c r="R220" s="92"/>
      <c r="S220" s="92"/>
      <c r="T220" s="114"/>
    </row>
    <row r="221" spans="2:20" ht="15" hidden="1" customHeight="1" x14ac:dyDescent="0.35">
      <c r="B221" s="5" t="s">
        <v>49</v>
      </c>
      <c r="C221" s="181"/>
      <c r="E221" s="118"/>
      <c r="F221" s="79" t="s">
        <v>88</v>
      </c>
      <c r="G221" s="80" t="e">
        <f>AVERAGE(I221:T221)</f>
        <v>#DIV/0!</v>
      </c>
      <c r="H221" s="80" t="e">
        <f>AVERAGE(J221:U221)</f>
        <v>#DIV/0!</v>
      </c>
      <c r="I221" s="107"/>
      <c r="J221" s="81"/>
      <c r="K221" s="81"/>
      <c r="L221" s="81"/>
      <c r="M221" s="119"/>
      <c r="N221" s="268"/>
      <c r="O221" s="81"/>
      <c r="P221" s="81"/>
      <c r="Q221" s="81"/>
      <c r="R221" s="81"/>
      <c r="S221" s="81"/>
      <c r="T221" s="82"/>
    </row>
    <row r="222" spans="2:20" ht="15" hidden="1" customHeight="1" x14ac:dyDescent="0.35">
      <c r="B222" s="18" t="s">
        <v>48</v>
      </c>
      <c r="C222" s="181"/>
      <c r="E222" s="78"/>
      <c r="F222" s="83" t="s">
        <v>74</v>
      </c>
      <c r="G222" s="84" t="e">
        <f>AVERAGE(I222:T222)</f>
        <v>#DIV/0!</v>
      </c>
      <c r="H222" s="84" t="e">
        <f>AVERAGE(J222:U222)</f>
        <v>#DIV/0!</v>
      </c>
      <c r="I222" s="85"/>
      <c r="J222" s="86"/>
      <c r="K222" s="86"/>
      <c r="L222" s="86"/>
      <c r="M222" s="119"/>
      <c r="N222" s="358"/>
      <c r="O222" s="86"/>
      <c r="P222" s="86"/>
      <c r="Q222" s="86"/>
      <c r="R222" s="86"/>
      <c r="S222" s="86"/>
      <c r="T222" s="87"/>
    </row>
    <row r="223" spans="2:20" ht="15" hidden="1" customHeight="1" x14ac:dyDescent="0.35">
      <c r="B223" s="18" t="s">
        <v>51</v>
      </c>
      <c r="C223" s="181"/>
      <c r="E223" s="78"/>
      <c r="F223" s="83" t="s">
        <v>89</v>
      </c>
      <c r="G223" s="84" t="e">
        <f>((ROUND(G221/G222,0)&amp;" : "&amp;"1"))</f>
        <v>#DIV/0!</v>
      </c>
      <c r="H223" s="84" t="e">
        <f>((ROUND(H221/H222,0)&amp;" : "&amp;"1"))</f>
        <v>#DIV/0!</v>
      </c>
      <c r="I223" s="85" t="e">
        <f>((ROUND(I221/I222,0)&amp;" : "&amp;"1"))</f>
        <v>#DIV/0!</v>
      </c>
      <c r="J223" s="85" t="e">
        <f t="shared" ref="J223:T223" si="31">((ROUND(J221/J222,0)&amp;" : "&amp;"1"))</f>
        <v>#DIV/0!</v>
      </c>
      <c r="K223" s="85" t="e">
        <f t="shared" si="31"/>
        <v>#DIV/0!</v>
      </c>
      <c r="L223" s="85" t="e">
        <f t="shared" si="31"/>
        <v>#DIV/0!</v>
      </c>
      <c r="M223" s="85" t="e">
        <f t="shared" si="31"/>
        <v>#DIV/0!</v>
      </c>
      <c r="N223" s="370" t="e">
        <f t="shared" si="31"/>
        <v>#DIV/0!</v>
      </c>
      <c r="O223" s="85" t="e">
        <f t="shared" si="31"/>
        <v>#DIV/0!</v>
      </c>
      <c r="P223" s="85" t="e">
        <f t="shared" si="31"/>
        <v>#DIV/0!</v>
      </c>
      <c r="Q223" s="85" t="e">
        <f t="shared" si="31"/>
        <v>#DIV/0!</v>
      </c>
      <c r="R223" s="85" t="e">
        <f t="shared" si="31"/>
        <v>#DIV/0!</v>
      </c>
      <c r="S223" s="85" t="e">
        <f t="shared" si="31"/>
        <v>#DIV/0!</v>
      </c>
      <c r="T223" s="102" t="e">
        <f t="shared" si="31"/>
        <v>#DIV/0!</v>
      </c>
    </row>
    <row r="224" spans="2:20" ht="15" hidden="1" customHeight="1" x14ac:dyDescent="0.35">
      <c r="B224" s="10" t="s">
        <v>50</v>
      </c>
      <c r="C224" s="181"/>
      <c r="E224" s="78"/>
      <c r="F224" s="88" t="s">
        <v>60</v>
      </c>
      <c r="G224" s="115" t="s">
        <v>60</v>
      </c>
      <c r="H224" s="115" t="s">
        <v>60</v>
      </c>
      <c r="I224" s="116" t="s">
        <v>60</v>
      </c>
      <c r="J224" s="116" t="s">
        <v>60</v>
      </c>
      <c r="K224" s="116" t="s">
        <v>60</v>
      </c>
      <c r="L224" s="116" t="s">
        <v>60</v>
      </c>
      <c r="M224" s="116" t="s">
        <v>60</v>
      </c>
      <c r="N224" s="371" t="s">
        <v>60</v>
      </c>
      <c r="O224" s="116" t="s">
        <v>60</v>
      </c>
      <c r="P224" s="116" t="s">
        <v>60</v>
      </c>
      <c r="Q224" s="116" t="s">
        <v>60</v>
      </c>
      <c r="R224" s="116" t="s">
        <v>60</v>
      </c>
      <c r="S224" s="116" t="s">
        <v>60</v>
      </c>
      <c r="T224" s="120" t="s">
        <v>60</v>
      </c>
    </row>
    <row r="225" spans="2:20" ht="15" hidden="1" customHeight="1" x14ac:dyDescent="0.35">
      <c r="B225" s="187" t="s">
        <v>64</v>
      </c>
      <c r="C225" s="324"/>
      <c r="D225" s="294"/>
      <c r="E225" s="92"/>
      <c r="F225" s="93"/>
      <c r="G225" s="121"/>
      <c r="H225" s="121"/>
      <c r="I225" s="92"/>
      <c r="J225" s="92"/>
      <c r="K225" s="92"/>
      <c r="L225" s="92"/>
      <c r="M225" s="92"/>
      <c r="N225" s="378"/>
      <c r="O225" s="92"/>
      <c r="P225" s="92"/>
      <c r="Q225" s="92"/>
      <c r="R225" s="92"/>
      <c r="S225" s="92"/>
      <c r="T225" s="114"/>
    </row>
    <row r="226" spans="2:20" ht="15" hidden="1" customHeight="1" x14ac:dyDescent="0.35">
      <c r="B226" s="5" t="s">
        <v>49</v>
      </c>
      <c r="C226" s="181"/>
      <c r="E226" s="78"/>
      <c r="F226" s="79" t="s">
        <v>90</v>
      </c>
      <c r="G226" s="80" t="e">
        <f>AVERAGE(I226:O226)</f>
        <v>#DIV/0!</v>
      </c>
      <c r="H226" s="80" t="e">
        <f>AVERAGE(J226:P226)</f>
        <v>#DIV/0!</v>
      </c>
      <c r="I226" s="107"/>
      <c r="J226" s="81"/>
      <c r="K226" s="81"/>
      <c r="L226" s="81"/>
      <c r="M226" s="81"/>
      <c r="N226" s="268"/>
      <c r="O226" s="81"/>
      <c r="P226" s="81"/>
      <c r="Q226" s="81"/>
      <c r="R226" s="81"/>
      <c r="S226" s="81"/>
      <c r="T226" s="82"/>
    </row>
    <row r="227" spans="2:20" ht="15" hidden="1" customHeight="1" x14ac:dyDescent="0.35">
      <c r="B227" s="18" t="s">
        <v>48</v>
      </c>
      <c r="C227" s="181"/>
      <c r="E227" s="78"/>
      <c r="F227" s="83" t="s">
        <v>91</v>
      </c>
      <c r="G227" s="84" t="e">
        <f>AVERAGE(I227:T227)</f>
        <v>#DIV/0!</v>
      </c>
      <c r="H227" s="84" t="e">
        <f>AVERAGE(J227:U227)</f>
        <v>#DIV/0!</v>
      </c>
      <c r="I227" s="85"/>
      <c r="J227" s="86"/>
      <c r="K227" s="86"/>
      <c r="L227" s="86"/>
      <c r="M227" s="86"/>
      <c r="N227" s="358"/>
      <c r="O227" s="86"/>
      <c r="P227" s="86"/>
      <c r="Q227" s="86"/>
      <c r="R227" s="86"/>
      <c r="S227" s="86"/>
      <c r="T227" s="87"/>
    </row>
    <row r="228" spans="2:20" ht="15" hidden="1" customHeight="1" x14ac:dyDescent="0.35">
      <c r="B228" s="18" t="s">
        <v>51</v>
      </c>
      <c r="C228" s="181"/>
      <c r="E228" s="78"/>
      <c r="F228" s="83" t="s">
        <v>92</v>
      </c>
      <c r="G228" s="84" t="e">
        <f>((ROUND(G226/G227,0)&amp;" : "&amp;"1"))</f>
        <v>#DIV/0!</v>
      </c>
      <c r="H228" s="84" t="e">
        <f>((ROUND(H226/H227,0)&amp;" : "&amp;"1"))</f>
        <v>#DIV/0!</v>
      </c>
      <c r="I228" s="85" t="e">
        <f>((ROUND(I226/I227,0)&amp;" : "&amp;"1"))</f>
        <v>#DIV/0!</v>
      </c>
      <c r="J228" s="85" t="e">
        <f t="shared" ref="J228:T228" si="32">((ROUND(J226/J227,0)&amp;" : "&amp;"1"))</f>
        <v>#DIV/0!</v>
      </c>
      <c r="K228" s="85" t="e">
        <f t="shared" si="32"/>
        <v>#DIV/0!</v>
      </c>
      <c r="L228" s="85" t="e">
        <f t="shared" si="32"/>
        <v>#DIV/0!</v>
      </c>
      <c r="M228" s="85" t="e">
        <f t="shared" si="32"/>
        <v>#DIV/0!</v>
      </c>
      <c r="N228" s="370" t="e">
        <f t="shared" si="32"/>
        <v>#DIV/0!</v>
      </c>
      <c r="O228" s="85" t="e">
        <f t="shared" si="32"/>
        <v>#DIV/0!</v>
      </c>
      <c r="P228" s="85" t="e">
        <f t="shared" si="32"/>
        <v>#DIV/0!</v>
      </c>
      <c r="Q228" s="85" t="e">
        <f t="shared" si="32"/>
        <v>#DIV/0!</v>
      </c>
      <c r="R228" s="85" t="e">
        <f t="shared" si="32"/>
        <v>#DIV/0!</v>
      </c>
      <c r="S228" s="85" t="e">
        <f t="shared" si="32"/>
        <v>#DIV/0!</v>
      </c>
      <c r="T228" s="102" t="e">
        <f t="shared" si="32"/>
        <v>#DIV/0!</v>
      </c>
    </row>
    <row r="229" spans="2:20" ht="15" hidden="1" customHeight="1" x14ac:dyDescent="0.35">
      <c r="B229" s="10" t="s">
        <v>50</v>
      </c>
      <c r="C229" s="181"/>
      <c r="E229" s="78"/>
      <c r="F229" s="88" t="s">
        <v>68</v>
      </c>
      <c r="G229" s="89" t="s">
        <v>68</v>
      </c>
      <c r="H229" s="89" t="s">
        <v>68</v>
      </c>
      <c r="I229" s="90" t="s">
        <v>68</v>
      </c>
      <c r="J229" s="90" t="s">
        <v>68</v>
      </c>
      <c r="K229" s="90" t="s">
        <v>68</v>
      </c>
      <c r="L229" s="90" t="s">
        <v>68</v>
      </c>
      <c r="M229" s="90" t="s">
        <v>68</v>
      </c>
      <c r="N229" s="371" t="s">
        <v>68</v>
      </c>
      <c r="O229" s="90" t="s">
        <v>68</v>
      </c>
      <c r="P229" s="90" t="s">
        <v>68</v>
      </c>
      <c r="Q229" s="90" t="s">
        <v>68</v>
      </c>
      <c r="R229" s="90" t="s">
        <v>68</v>
      </c>
      <c r="S229" s="90" t="s">
        <v>68</v>
      </c>
      <c r="T229" s="103" t="s">
        <v>68</v>
      </c>
    </row>
    <row r="230" spans="2:20" ht="15" hidden="1" customHeight="1" x14ac:dyDescent="0.35">
      <c r="B230" s="187" t="s">
        <v>42</v>
      </c>
      <c r="C230" s="324"/>
      <c r="D230" s="294"/>
      <c r="E230" s="92"/>
      <c r="F230" s="93"/>
      <c r="G230" s="121"/>
      <c r="H230" s="121"/>
      <c r="I230" s="92"/>
      <c r="J230" s="92"/>
      <c r="K230" s="92"/>
      <c r="L230" s="92"/>
      <c r="M230" s="92"/>
      <c r="N230" s="378"/>
      <c r="O230" s="92"/>
      <c r="P230" s="92"/>
      <c r="Q230" s="92"/>
      <c r="R230" s="92"/>
      <c r="S230" s="92"/>
      <c r="T230" s="114"/>
    </row>
    <row r="231" spans="2:20" ht="15" hidden="1" customHeight="1" x14ac:dyDescent="0.35">
      <c r="B231" s="5" t="s">
        <v>49</v>
      </c>
      <c r="C231" s="181"/>
      <c r="E231" s="78"/>
      <c r="F231" s="79" t="s">
        <v>93</v>
      </c>
      <c r="G231" s="80" t="e">
        <f>AVERAGE(I231:T231)</f>
        <v>#DIV/0!</v>
      </c>
      <c r="H231" s="80" t="e">
        <f>AVERAGE(J231:U231)</f>
        <v>#DIV/0!</v>
      </c>
      <c r="I231" s="107"/>
      <c r="J231" s="81"/>
      <c r="K231" s="81"/>
      <c r="L231" s="81"/>
      <c r="M231" s="81"/>
      <c r="N231" s="268"/>
      <c r="O231" s="81"/>
      <c r="P231" s="81"/>
      <c r="Q231" s="81"/>
      <c r="R231" s="81"/>
      <c r="S231" s="81"/>
      <c r="T231" s="82"/>
    </row>
    <row r="232" spans="2:20" ht="15" hidden="1" customHeight="1" x14ac:dyDescent="0.35">
      <c r="B232" s="18" t="s">
        <v>48</v>
      </c>
      <c r="C232" s="181"/>
      <c r="E232" s="78"/>
      <c r="F232" s="83" t="s">
        <v>83</v>
      </c>
      <c r="G232" s="84" t="e">
        <f>AVERAGE(I232:T232)</f>
        <v>#DIV/0!</v>
      </c>
      <c r="H232" s="84" t="e">
        <f>AVERAGE(J232:U232)</f>
        <v>#DIV/0!</v>
      </c>
      <c r="I232" s="85"/>
      <c r="J232" s="86"/>
      <c r="K232" s="86"/>
      <c r="L232" s="86"/>
      <c r="M232" s="86"/>
      <c r="N232" s="358"/>
      <c r="O232" s="86"/>
      <c r="P232" s="86"/>
      <c r="Q232" s="86"/>
      <c r="R232" s="86"/>
      <c r="S232" s="86"/>
      <c r="T232" s="87"/>
    </row>
    <row r="233" spans="2:20" ht="15" hidden="1" customHeight="1" x14ac:dyDescent="0.35">
      <c r="B233" s="18" t="s">
        <v>51</v>
      </c>
      <c r="C233" s="181"/>
      <c r="E233" s="78"/>
      <c r="F233" s="83" t="s">
        <v>81</v>
      </c>
      <c r="G233" s="84" t="e">
        <f>((ROUND(G231/G232,0)&amp;" : "&amp;"1"))</f>
        <v>#DIV/0!</v>
      </c>
      <c r="H233" s="84" t="e">
        <f>((ROUND(H231/H232,0)&amp;" : "&amp;"1"))</f>
        <v>#DIV/0!</v>
      </c>
      <c r="I233" s="85" t="e">
        <f>((ROUND(I231/I232,0)&amp;" : "&amp;"1"))</f>
        <v>#DIV/0!</v>
      </c>
      <c r="J233" s="85" t="e">
        <f t="shared" ref="J233:T233" si="33">((ROUND(J231/J232,0)&amp;" : "&amp;"1"))</f>
        <v>#DIV/0!</v>
      </c>
      <c r="K233" s="85" t="e">
        <f t="shared" si="33"/>
        <v>#DIV/0!</v>
      </c>
      <c r="L233" s="85" t="e">
        <f t="shared" si="33"/>
        <v>#DIV/0!</v>
      </c>
      <c r="M233" s="85" t="e">
        <f t="shared" si="33"/>
        <v>#DIV/0!</v>
      </c>
      <c r="N233" s="370" t="e">
        <f t="shared" si="33"/>
        <v>#DIV/0!</v>
      </c>
      <c r="O233" s="85" t="e">
        <f t="shared" si="33"/>
        <v>#DIV/0!</v>
      </c>
      <c r="P233" s="85" t="e">
        <f t="shared" si="33"/>
        <v>#DIV/0!</v>
      </c>
      <c r="Q233" s="85" t="e">
        <f t="shared" si="33"/>
        <v>#DIV/0!</v>
      </c>
      <c r="R233" s="85" t="e">
        <f t="shared" si="33"/>
        <v>#DIV/0!</v>
      </c>
      <c r="S233" s="85" t="e">
        <f t="shared" si="33"/>
        <v>#DIV/0!</v>
      </c>
      <c r="T233" s="102" t="e">
        <f t="shared" si="33"/>
        <v>#DIV/0!</v>
      </c>
    </row>
    <row r="234" spans="2:20" ht="15" hidden="1" customHeight="1" x14ac:dyDescent="0.35">
      <c r="B234" s="10" t="s">
        <v>50</v>
      </c>
      <c r="C234" s="181"/>
      <c r="E234" s="78"/>
      <c r="F234" s="88" t="s">
        <v>69</v>
      </c>
      <c r="G234" s="89" t="s">
        <v>69</v>
      </c>
      <c r="H234" s="89" t="s">
        <v>69</v>
      </c>
      <c r="I234" s="90" t="s">
        <v>69</v>
      </c>
      <c r="J234" s="90" t="s">
        <v>69</v>
      </c>
      <c r="K234" s="90" t="s">
        <v>69</v>
      </c>
      <c r="L234" s="90" t="s">
        <v>69</v>
      </c>
      <c r="M234" s="90" t="s">
        <v>69</v>
      </c>
      <c r="N234" s="371" t="s">
        <v>69</v>
      </c>
      <c r="O234" s="90" t="s">
        <v>69</v>
      </c>
      <c r="P234" s="90" t="s">
        <v>69</v>
      </c>
      <c r="Q234" s="90" t="s">
        <v>69</v>
      </c>
      <c r="R234" s="90" t="s">
        <v>69</v>
      </c>
      <c r="S234" s="90" t="s">
        <v>69</v>
      </c>
      <c r="T234" s="103" t="s">
        <v>69</v>
      </c>
    </row>
    <row r="235" spans="2:20" ht="15" hidden="1" customHeight="1" x14ac:dyDescent="0.35">
      <c r="B235" s="187" t="s">
        <v>65</v>
      </c>
      <c r="C235" s="324"/>
      <c r="D235" s="294"/>
      <c r="E235" s="92"/>
      <c r="F235" s="93"/>
      <c r="G235" s="121"/>
      <c r="H235" s="121"/>
      <c r="I235" s="92"/>
      <c r="J235" s="92"/>
      <c r="K235" s="92"/>
      <c r="L235" s="92"/>
      <c r="M235" s="92"/>
      <c r="N235" s="378"/>
      <c r="O235" s="92"/>
      <c r="P235" s="92"/>
      <c r="Q235" s="92"/>
      <c r="R235" s="92"/>
      <c r="S235" s="92"/>
      <c r="T235" s="114"/>
    </row>
    <row r="236" spans="2:20" ht="15" hidden="1" customHeight="1" x14ac:dyDescent="0.35">
      <c r="B236" s="5" t="s">
        <v>49</v>
      </c>
      <c r="C236" s="181"/>
      <c r="E236" s="78"/>
      <c r="F236" s="79" t="s">
        <v>94</v>
      </c>
      <c r="G236" s="80" t="e">
        <f>AVERAGE(I236:T236)</f>
        <v>#DIV/0!</v>
      </c>
      <c r="H236" s="80" t="e">
        <f>AVERAGE(J236:U236)</f>
        <v>#DIV/0!</v>
      </c>
      <c r="I236" s="107"/>
      <c r="J236" s="81"/>
      <c r="K236" s="81"/>
      <c r="L236" s="81"/>
      <c r="M236" s="81"/>
      <c r="N236" s="268"/>
      <c r="O236" s="81"/>
      <c r="P236" s="81"/>
      <c r="Q236" s="81"/>
      <c r="R236" s="81"/>
      <c r="S236" s="81"/>
      <c r="T236" s="82"/>
    </row>
    <row r="237" spans="2:20" ht="15" hidden="1" customHeight="1" x14ac:dyDescent="0.35">
      <c r="B237" s="18" t="s">
        <v>48</v>
      </c>
      <c r="C237" s="181"/>
      <c r="E237" s="78"/>
      <c r="F237" s="83" t="s">
        <v>91</v>
      </c>
      <c r="G237" s="84" t="e">
        <f>AVERAGE(I237:T237)</f>
        <v>#DIV/0!</v>
      </c>
      <c r="H237" s="84" t="e">
        <f>AVERAGE(J237:U237)</f>
        <v>#DIV/0!</v>
      </c>
      <c r="I237" s="85"/>
      <c r="J237" s="86"/>
      <c r="K237" s="86"/>
      <c r="L237" s="86"/>
      <c r="M237" s="86"/>
      <c r="N237" s="358"/>
      <c r="O237" s="86"/>
      <c r="P237" s="86"/>
      <c r="Q237" s="86"/>
      <c r="R237" s="86"/>
      <c r="S237" s="86"/>
      <c r="T237" s="87"/>
    </row>
    <row r="238" spans="2:20" ht="15" hidden="1" customHeight="1" x14ac:dyDescent="0.35">
      <c r="B238" s="18" t="s">
        <v>51</v>
      </c>
      <c r="C238" s="181"/>
      <c r="E238" s="78"/>
      <c r="F238" s="83" t="s">
        <v>92</v>
      </c>
      <c r="G238" s="84" t="e">
        <f>((ROUND(G236/G237,0)&amp;" : "&amp;"1"))</f>
        <v>#DIV/0!</v>
      </c>
      <c r="H238" s="84" t="e">
        <f>((ROUND(H236/H237,0)&amp;" : "&amp;"1"))</f>
        <v>#DIV/0!</v>
      </c>
      <c r="I238" s="85" t="e">
        <f>((ROUND(I236/I237,0)&amp;" : "&amp;"1"))</f>
        <v>#DIV/0!</v>
      </c>
      <c r="J238" s="85" t="e">
        <f t="shared" ref="J238:T238" si="34">((ROUND(J236/J237,0)&amp;" : "&amp;"1"))</f>
        <v>#DIV/0!</v>
      </c>
      <c r="K238" s="85" t="e">
        <f t="shared" si="34"/>
        <v>#DIV/0!</v>
      </c>
      <c r="L238" s="85" t="e">
        <f t="shared" si="34"/>
        <v>#DIV/0!</v>
      </c>
      <c r="M238" s="85" t="e">
        <f t="shared" si="34"/>
        <v>#DIV/0!</v>
      </c>
      <c r="N238" s="370" t="e">
        <f t="shared" si="34"/>
        <v>#DIV/0!</v>
      </c>
      <c r="O238" s="85" t="e">
        <f t="shared" si="34"/>
        <v>#DIV/0!</v>
      </c>
      <c r="P238" s="85" t="e">
        <f t="shared" si="34"/>
        <v>#DIV/0!</v>
      </c>
      <c r="Q238" s="85" t="e">
        <f t="shared" si="34"/>
        <v>#DIV/0!</v>
      </c>
      <c r="R238" s="85" t="e">
        <f t="shared" si="34"/>
        <v>#DIV/0!</v>
      </c>
      <c r="S238" s="85" t="e">
        <f t="shared" si="34"/>
        <v>#DIV/0!</v>
      </c>
      <c r="T238" s="102" t="e">
        <f t="shared" si="34"/>
        <v>#DIV/0!</v>
      </c>
    </row>
    <row r="239" spans="2:20" ht="15" hidden="1" customHeight="1" x14ac:dyDescent="0.35">
      <c r="B239" s="190" t="s">
        <v>50</v>
      </c>
      <c r="C239" s="318"/>
      <c r="D239" s="289"/>
      <c r="E239" s="108"/>
      <c r="F239" s="109" t="s">
        <v>68</v>
      </c>
      <c r="G239" s="110" t="s">
        <v>68</v>
      </c>
      <c r="H239" s="110" t="s">
        <v>68</v>
      </c>
      <c r="I239" s="111" t="s">
        <v>60</v>
      </c>
      <c r="J239" s="111" t="s">
        <v>60</v>
      </c>
      <c r="K239" s="111" t="s">
        <v>60</v>
      </c>
      <c r="L239" s="111" t="s">
        <v>60</v>
      </c>
      <c r="M239" s="111" t="s">
        <v>60</v>
      </c>
      <c r="N239" s="376" t="s">
        <v>60</v>
      </c>
      <c r="O239" s="111" t="s">
        <v>60</v>
      </c>
      <c r="P239" s="111" t="s">
        <v>60</v>
      </c>
      <c r="Q239" s="122" t="s">
        <v>68</v>
      </c>
      <c r="R239" s="122" t="s">
        <v>68</v>
      </c>
      <c r="S239" s="122" t="s">
        <v>68</v>
      </c>
      <c r="T239" s="123" t="s">
        <v>68</v>
      </c>
    </row>
    <row r="240" spans="2:20" hidden="1" x14ac:dyDescent="0.35"/>
    <row r="241" hidden="1" x14ac:dyDescent="0.35"/>
  </sheetData>
  <mergeCells count="3">
    <mergeCell ref="B4:T4"/>
    <mergeCell ref="G50:G51"/>
    <mergeCell ref="H50:H51"/>
  </mergeCells>
  <pageMargins left="0.25" right="0.25" top="0.75" bottom="0.75" header="0.3" footer="0.3"/>
  <pageSetup scale="41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41098-04DD-472B-9AE4-76590D0611F1}">
  <sheetPr>
    <pageSetUpPr fitToPage="1"/>
  </sheetPr>
  <dimension ref="A1:V238"/>
  <sheetViews>
    <sheetView tabSelected="1" topLeftCell="B1" zoomScale="90" zoomScaleNormal="90" workbookViewId="0">
      <pane xSplit="6" ySplit="5" topLeftCell="H165" activePane="bottomRight" state="frozen"/>
      <selection activeCell="B1" sqref="B1"/>
      <selection pane="topRight" activeCell="G1" sqref="G1"/>
      <selection pane="bottomLeft" activeCell="B6" sqref="B6"/>
      <selection pane="bottomRight" activeCell="L227" sqref="L227:M227"/>
    </sheetView>
  </sheetViews>
  <sheetFormatPr defaultColWidth="8.81640625" defaultRowHeight="13" x14ac:dyDescent="0.35"/>
  <cols>
    <col min="1" max="1" width="9.1796875" style="14" hidden="1" customWidth="1"/>
    <col min="2" max="2" width="66.453125" style="14" customWidth="1"/>
    <col min="3" max="3" width="22.54296875" style="14" hidden="1" customWidth="1"/>
    <col min="4" max="4" width="0.1796875" style="284" hidden="1" customWidth="1"/>
    <col min="5" max="6" width="13.81640625" style="138" hidden="1" customWidth="1"/>
    <col min="7" max="7" width="17.7265625" style="124" hidden="1" customWidth="1"/>
    <col min="8" max="8" width="18" style="124" customWidth="1"/>
    <col min="9" max="9" width="13.54296875" style="138" customWidth="1"/>
    <col min="10" max="10" width="14.7265625" style="138" customWidth="1"/>
    <col min="11" max="11" width="15.54296875" style="138" customWidth="1"/>
    <col min="12" max="12" width="14.81640625" style="138" customWidth="1"/>
    <col min="13" max="13" width="17.26953125" style="138" customWidth="1"/>
    <col min="14" max="14" width="17.7265625" style="326" customWidth="1"/>
    <col min="15" max="15" width="14.54296875" style="138" customWidth="1"/>
    <col min="16" max="16" width="16.54296875" style="138" customWidth="1"/>
    <col min="17" max="19" width="12.7265625" style="138" customWidth="1"/>
    <col min="20" max="20" width="12.1796875" style="138" customWidth="1"/>
    <col min="21" max="21" width="11" style="14" bestFit="1" customWidth="1"/>
    <col min="22" max="16384" width="8.81640625" style="14"/>
  </cols>
  <sheetData>
    <row r="1" spans="1:22" s="199" customFormat="1" ht="16" customHeight="1" x14ac:dyDescent="0.35">
      <c r="A1" s="195"/>
      <c r="B1" s="196"/>
      <c r="C1" s="196" t="s">
        <v>209</v>
      </c>
      <c r="D1" s="279"/>
      <c r="E1" s="526" t="s">
        <v>99</v>
      </c>
      <c r="F1" s="527"/>
      <c r="G1" s="1" t="s">
        <v>99</v>
      </c>
      <c r="H1" s="1" t="s">
        <v>38</v>
      </c>
      <c r="I1" s="197"/>
      <c r="J1" s="197"/>
      <c r="K1" s="197"/>
      <c r="L1" s="197"/>
      <c r="M1" s="197"/>
      <c r="N1" s="356"/>
      <c r="O1" s="197"/>
      <c r="P1" s="197"/>
      <c r="Q1" s="197"/>
      <c r="R1" s="197"/>
      <c r="S1" s="197"/>
      <c r="T1" s="198"/>
    </row>
    <row r="2" spans="1:22" s="199" customFormat="1" ht="28.5" customHeight="1" x14ac:dyDescent="0.35">
      <c r="A2" s="200"/>
      <c r="B2" s="201"/>
      <c r="C2" s="201"/>
      <c r="D2" s="295"/>
      <c r="E2" s="202" t="s">
        <v>220</v>
      </c>
      <c r="F2" s="203" t="s">
        <v>227</v>
      </c>
      <c r="G2" s="204" t="s">
        <v>230</v>
      </c>
      <c r="H2" s="204" t="s">
        <v>232</v>
      </c>
      <c r="I2" s="205" t="s">
        <v>1</v>
      </c>
      <c r="J2" s="202" t="s">
        <v>2</v>
      </c>
      <c r="K2" s="202" t="s">
        <v>3</v>
      </c>
      <c r="L2" s="202" t="s">
        <v>4</v>
      </c>
      <c r="M2" s="202" t="s">
        <v>5</v>
      </c>
      <c r="N2" s="357" t="s">
        <v>6</v>
      </c>
      <c r="O2" s="202" t="s">
        <v>7</v>
      </c>
      <c r="P2" s="202" t="s">
        <v>8</v>
      </c>
      <c r="Q2" s="202" t="s">
        <v>9</v>
      </c>
      <c r="R2" s="202" t="s">
        <v>10</v>
      </c>
      <c r="S2" s="202" t="s">
        <v>11</v>
      </c>
      <c r="T2" s="202" t="s">
        <v>12</v>
      </c>
    </row>
    <row r="3" spans="1:22" s="126" customFormat="1" ht="16" customHeight="1" x14ac:dyDescent="0.35">
      <c r="A3" s="125"/>
      <c r="B3" s="498" t="s">
        <v>101</v>
      </c>
      <c r="C3" s="500"/>
      <c r="D3" s="500"/>
      <c r="E3" s="500"/>
      <c r="F3" s="500"/>
      <c r="G3" s="500"/>
      <c r="H3" s="500"/>
      <c r="I3" s="500"/>
      <c r="J3" s="500"/>
      <c r="K3" s="500"/>
      <c r="L3" s="500"/>
      <c r="M3" s="500"/>
      <c r="N3" s="500"/>
      <c r="O3" s="500"/>
      <c r="P3" s="500"/>
      <c r="Q3" s="500"/>
      <c r="R3" s="500"/>
      <c r="S3" s="500"/>
      <c r="T3" s="501"/>
    </row>
    <row r="4" spans="1:22" s="126" customFormat="1" ht="16" customHeight="1" x14ac:dyDescent="0.35">
      <c r="A4" s="125"/>
      <c r="B4" s="517"/>
      <c r="C4" s="518"/>
      <c r="D4" s="518"/>
      <c r="E4" s="518"/>
      <c r="F4" s="518"/>
      <c r="G4" s="518"/>
      <c r="H4" s="518"/>
      <c r="I4" s="518"/>
      <c r="J4" s="518"/>
      <c r="K4" s="518"/>
      <c r="L4" s="518"/>
      <c r="M4" s="518"/>
      <c r="N4" s="518"/>
      <c r="O4" s="518"/>
      <c r="P4" s="518"/>
      <c r="Q4" s="518"/>
      <c r="R4" s="518"/>
      <c r="S4" s="518"/>
      <c r="T4" s="519"/>
    </row>
    <row r="5" spans="1:22" s="126" customFormat="1" ht="13" customHeight="1" x14ac:dyDescent="0.35">
      <c r="A5" s="125"/>
      <c r="B5" s="522" t="s">
        <v>13</v>
      </c>
      <c r="C5" s="523"/>
      <c r="D5" s="523"/>
      <c r="E5" s="523"/>
      <c r="F5" s="523"/>
      <c r="G5" s="523"/>
      <c r="H5" s="523"/>
      <c r="I5" s="523"/>
      <c r="J5" s="523"/>
      <c r="K5" s="523"/>
      <c r="L5" s="523"/>
      <c r="M5" s="523"/>
      <c r="N5" s="523"/>
      <c r="O5" s="523"/>
      <c r="P5" s="523"/>
      <c r="Q5" s="523"/>
      <c r="R5" s="523"/>
      <c r="S5" s="523"/>
      <c r="T5" s="524"/>
    </row>
    <row r="6" spans="1:22" ht="30" customHeight="1" x14ac:dyDescent="0.35">
      <c r="A6" s="12"/>
      <c r="B6" s="5" t="s">
        <v>118</v>
      </c>
      <c r="C6" s="306" t="s">
        <v>211</v>
      </c>
      <c r="D6" s="280"/>
      <c r="E6" s="124">
        <v>3067</v>
      </c>
      <c r="F6" s="124">
        <v>3153</v>
      </c>
      <c r="G6" s="391">
        <f t="shared" ref="G6:H12" si="0">SUM(I6:T6)</f>
        <v>2981</v>
      </c>
      <c r="H6" s="6">
        <f t="shared" si="0"/>
        <v>2758</v>
      </c>
      <c r="I6" s="7">
        <v>223</v>
      </c>
      <c r="J6" s="8">
        <v>236</v>
      </c>
      <c r="K6" s="8">
        <v>271</v>
      </c>
      <c r="L6" s="8">
        <v>267</v>
      </c>
      <c r="M6" s="8">
        <v>228</v>
      </c>
      <c r="N6" s="8">
        <v>168</v>
      </c>
      <c r="O6" s="8">
        <v>285</v>
      </c>
      <c r="P6" s="8">
        <v>264</v>
      </c>
      <c r="Q6" s="8">
        <v>247</v>
      </c>
      <c r="R6" s="8">
        <v>305</v>
      </c>
      <c r="S6" s="8">
        <v>277</v>
      </c>
      <c r="T6" s="9">
        <v>210</v>
      </c>
    </row>
    <row r="7" spans="1:22" ht="21" customHeight="1" x14ac:dyDescent="0.35">
      <c r="A7" s="12"/>
      <c r="B7" s="10" t="s">
        <v>100</v>
      </c>
      <c r="C7" s="306" t="s">
        <v>211</v>
      </c>
      <c r="D7" s="281"/>
      <c r="E7" s="124">
        <v>1429</v>
      </c>
      <c r="F7" s="124">
        <v>1390</v>
      </c>
      <c r="G7" s="391">
        <f t="shared" si="0"/>
        <v>1565</v>
      </c>
      <c r="H7" s="6">
        <f t="shared" si="0"/>
        <v>1459</v>
      </c>
      <c r="I7" s="7">
        <v>106</v>
      </c>
      <c r="J7" s="8">
        <v>124</v>
      </c>
      <c r="K7" s="8">
        <v>136</v>
      </c>
      <c r="L7" s="8">
        <v>147</v>
      </c>
      <c r="M7" s="8">
        <v>120</v>
      </c>
      <c r="N7" s="8">
        <v>90</v>
      </c>
      <c r="O7" s="8">
        <v>141</v>
      </c>
      <c r="P7" s="8">
        <v>158</v>
      </c>
      <c r="Q7" s="8">
        <v>129</v>
      </c>
      <c r="R7" s="8">
        <v>151</v>
      </c>
      <c r="S7" s="8">
        <v>150</v>
      </c>
      <c r="T7" s="9">
        <v>113</v>
      </c>
    </row>
    <row r="8" spans="1:22" ht="34" customHeight="1" x14ac:dyDescent="0.35">
      <c r="A8" s="12"/>
      <c r="B8" s="18" t="s">
        <v>119</v>
      </c>
      <c r="C8" s="306" t="s">
        <v>211</v>
      </c>
      <c r="D8" s="282"/>
      <c r="E8" s="124">
        <v>3905</v>
      </c>
      <c r="F8" s="124">
        <v>5404</v>
      </c>
      <c r="G8" s="391">
        <f t="shared" si="0"/>
        <v>4102</v>
      </c>
      <c r="H8" s="6">
        <f t="shared" si="0"/>
        <v>3641</v>
      </c>
      <c r="I8" s="7">
        <v>461</v>
      </c>
      <c r="J8" s="8"/>
      <c r="K8" s="138">
        <v>472</v>
      </c>
      <c r="L8" s="8">
        <v>486</v>
      </c>
      <c r="M8" s="8">
        <v>450</v>
      </c>
      <c r="N8" s="8"/>
      <c r="O8" s="8"/>
      <c r="P8" s="8">
        <v>509</v>
      </c>
      <c r="Q8" s="8">
        <v>399</v>
      </c>
      <c r="R8" s="8">
        <v>450</v>
      </c>
      <c r="S8" s="8">
        <v>494</v>
      </c>
      <c r="T8" s="9">
        <v>381</v>
      </c>
    </row>
    <row r="9" spans="1:22" ht="28" customHeight="1" x14ac:dyDescent="0.35">
      <c r="A9" s="12"/>
      <c r="B9" s="5" t="s">
        <v>120</v>
      </c>
      <c r="C9" s="306" t="s">
        <v>211</v>
      </c>
      <c r="D9" s="280"/>
      <c r="E9" s="124">
        <v>205</v>
      </c>
      <c r="F9" s="124">
        <v>295</v>
      </c>
      <c r="G9" s="391">
        <f t="shared" si="0"/>
        <v>418</v>
      </c>
      <c r="H9" s="6">
        <f t="shared" si="0"/>
        <v>400</v>
      </c>
      <c r="I9" s="7">
        <v>18</v>
      </c>
      <c r="J9" s="8">
        <v>31</v>
      </c>
      <c r="K9" s="138">
        <v>33</v>
      </c>
      <c r="L9" s="8">
        <v>54</v>
      </c>
      <c r="M9" s="8">
        <v>29</v>
      </c>
      <c r="N9" s="8">
        <v>23</v>
      </c>
      <c r="O9" s="8">
        <v>31</v>
      </c>
      <c r="P9" s="8">
        <v>52</v>
      </c>
      <c r="Q9" s="8">
        <v>29</v>
      </c>
      <c r="R9" s="8">
        <v>36</v>
      </c>
      <c r="S9" s="8">
        <v>52</v>
      </c>
      <c r="T9" s="9">
        <v>30</v>
      </c>
    </row>
    <row r="10" spans="1:22" ht="1.5" customHeight="1" x14ac:dyDescent="0.35">
      <c r="A10" s="12"/>
      <c r="B10" s="191" t="s">
        <v>111</v>
      </c>
      <c r="C10" s="306" t="s">
        <v>211</v>
      </c>
      <c r="D10" s="283"/>
      <c r="E10" s="124">
        <v>0</v>
      </c>
      <c r="F10" s="124">
        <v>0</v>
      </c>
      <c r="G10" s="391">
        <f t="shared" si="0"/>
        <v>0</v>
      </c>
      <c r="H10" s="6">
        <f t="shared" si="0"/>
        <v>0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spans="1:22" ht="23.5" customHeight="1" x14ac:dyDescent="0.35">
      <c r="A11" s="12"/>
      <c r="B11" s="18" t="s">
        <v>121</v>
      </c>
      <c r="C11" s="306" t="s">
        <v>211</v>
      </c>
      <c r="D11" s="282"/>
      <c r="E11" s="124">
        <v>1188</v>
      </c>
      <c r="F11" s="124">
        <v>1107</v>
      </c>
      <c r="G11" s="391">
        <f t="shared" si="0"/>
        <v>1145</v>
      </c>
      <c r="H11" s="6">
        <f t="shared" si="0"/>
        <v>1057</v>
      </c>
      <c r="I11" s="7">
        <v>88</v>
      </c>
      <c r="J11" s="8">
        <v>93</v>
      </c>
      <c r="K11" s="8">
        <v>103</v>
      </c>
      <c r="L11" s="8">
        <v>93</v>
      </c>
      <c r="M11" s="8">
        <v>91</v>
      </c>
      <c r="N11" s="8">
        <v>66</v>
      </c>
      <c r="O11" s="8">
        <v>110</v>
      </c>
      <c r="P11" s="8">
        <v>106</v>
      </c>
      <c r="Q11" s="8">
        <v>100</v>
      </c>
      <c r="R11" s="8">
        <v>114</v>
      </c>
      <c r="S11" s="8">
        <v>98</v>
      </c>
      <c r="T11" s="9">
        <v>83</v>
      </c>
    </row>
    <row r="12" spans="1:22" ht="2.5" hidden="1" customHeight="1" x14ac:dyDescent="0.35">
      <c r="A12" s="12"/>
      <c r="B12" s="192" t="s">
        <v>112</v>
      </c>
      <c r="C12" s="306" t="s">
        <v>211</v>
      </c>
      <c r="D12" s="281"/>
      <c r="E12" s="124">
        <v>0</v>
      </c>
      <c r="F12" s="124">
        <v>0</v>
      </c>
      <c r="G12" s="391">
        <f t="shared" si="0"/>
        <v>0</v>
      </c>
      <c r="H12" s="6">
        <f t="shared" si="0"/>
        <v>0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V12" s="328"/>
    </row>
    <row r="13" spans="1:22" ht="15" hidden="1" customHeight="1" x14ac:dyDescent="0.35">
      <c r="A13" s="12"/>
      <c r="B13" s="508" t="s">
        <v>14</v>
      </c>
      <c r="C13" s="509"/>
      <c r="D13" s="509"/>
      <c r="E13" s="520"/>
      <c r="F13" s="520"/>
      <c r="G13" s="520"/>
      <c r="H13" s="520"/>
      <c r="I13" s="520"/>
      <c r="J13" s="520"/>
      <c r="K13" s="520"/>
      <c r="L13" s="520"/>
      <c r="M13" s="520"/>
      <c r="N13" s="520"/>
      <c r="O13" s="520"/>
      <c r="P13" s="520"/>
      <c r="Q13" s="520"/>
      <c r="R13" s="520"/>
      <c r="S13" s="520"/>
      <c r="T13" s="521"/>
      <c r="V13" s="328"/>
    </row>
    <row r="14" spans="1:22" ht="12.75" hidden="1" customHeight="1" x14ac:dyDescent="0.35">
      <c r="A14" s="12"/>
      <c r="B14" s="206" t="s">
        <v>196</v>
      </c>
      <c r="C14" s="181"/>
      <c r="E14" s="207"/>
      <c r="F14" s="208"/>
      <c r="G14" s="214"/>
      <c r="H14" s="214"/>
      <c r="I14" s="209"/>
      <c r="J14" s="8"/>
      <c r="K14" s="8"/>
      <c r="L14" s="8"/>
      <c r="M14" s="8"/>
      <c r="N14" s="268"/>
      <c r="O14" s="8"/>
      <c r="P14" s="8"/>
      <c r="Q14" s="8"/>
      <c r="R14" s="8"/>
      <c r="S14" s="8"/>
      <c r="T14" s="9"/>
      <c r="V14" s="328"/>
    </row>
    <row r="15" spans="1:22" ht="12.75" hidden="1" customHeight="1" x14ac:dyDescent="0.35">
      <c r="A15" s="12"/>
      <c r="B15" s="213" t="s">
        <v>15</v>
      </c>
      <c r="C15" s="311"/>
      <c r="E15" s="207"/>
      <c r="F15" s="208"/>
      <c r="G15" s="215"/>
      <c r="H15" s="215"/>
      <c r="I15" s="7"/>
      <c r="J15" s="8">
        <v>117</v>
      </c>
      <c r="K15" s="8"/>
      <c r="L15" s="8"/>
      <c r="M15" s="8"/>
      <c r="N15" s="268"/>
      <c r="O15" s="8"/>
      <c r="P15" s="8"/>
      <c r="Q15" s="8"/>
      <c r="R15" s="8"/>
      <c r="S15" s="8"/>
      <c r="T15" s="9"/>
      <c r="V15" s="328"/>
    </row>
    <row r="16" spans="1:22" hidden="1" x14ac:dyDescent="0.35">
      <c r="A16" s="12"/>
      <c r="B16" s="213" t="s">
        <v>16</v>
      </c>
      <c r="C16" s="311"/>
      <c r="E16" s="207"/>
      <c r="F16" s="208"/>
      <c r="G16" s="210"/>
      <c r="H16" s="210"/>
      <c r="I16" s="7"/>
      <c r="J16" s="8">
        <v>93</v>
      </c>
      <c r="K16" s="8"/>
      <c r="L16" s="8"/>
      <c r="M16" s="8"/>
      <c r="N16" s="268"/>
      <c r="O16" s="8"/>
      <c r="P16" s="8"/>
      <c r="Q16" s="8"/>
      <c r="R16" s="8"/>
      <c r="S16" s="8"/>
      <c r="T16" s="9"/>
    </row>
    <row r="17" spans="1:20" hidden="1" x14ac:dyDescent="0.35">
      <c r="A17" s="12"/>
      <c r="B17" s="213" t="s">
        <v>62</v>
      </c>
      <c r="C17" s="311"/>
      <c r="E17" s="207"/>
      <c r="F17" s="208"/>
      <c r="G17" s="216"/>
      <c r="H17" s="216"/>
      <c r="I17" s="7"/>
      <c r="J17" s="8"/>
      <c r="K17" s="8"/>
      <c r="L17" s="8"/>
      <c r="M17" s="8"/>
      <c r="N17" s="268"/>
      <c r="O17" s="8"/>
      <c r="P17" s="8"/>
      <c r="Q17" s="8"/>
      <c r="R17" s="8"/>
      <c r="S17" s="8"/>
      <c r="T17" s="9"/>
    </row>
    <row r="18" spans="1:20" hidden="1" x14ac:dyDescent="0.35">
      <c r="A18" s="12"/>
      <c r="B18" s="211" t="s">
        <v>197</v>
      </c>
      <c r="C18" s="181"/>
      <c r="E18" s="207"/>
      <c r="F18" s="208"/>
      <c r="G18" s="6"/>
      <c r="H18" s="6"/>
      <c r="I18" s="15"/>
      <c r="J18" s="16"/>
      <c r="K18" s="16"/>
      <c r="L18" s="16"/>
      <c r="M18" s="16"/>
      <c r="N18" s="358"/>
      <c r="O18" s="16"/>
      <c r="P18" s="16"/>
      <c r="Q18" s="16"/>
      <c r="R18" s="16"/>
      <c r="S18" s="16"/>
      <c r="T18" s="17"/>
    </row>
    <row r="19" spans="1:20" hidden="1" x14ac:dyDescent="0.35">
      <c r="A19" s="12"/>
      <c r="B19" s="211" t="s">
        <v>198</v>
      </c>
      <c r="C19" s="181"/>
      <c r="E19" s="207"/>
      <c r="F19" s="208"/>
      <c r="G19" s="19"/>
      <c r="H19" s="19"/>
      <c r="I19" s="15"/>
      <c r="J19" s="16"/>
      <c r="K19" s="16"/>
      <c r="L19" s="16"/>
      <c r="M19" s="16"/>
      <c r="N19" s="358"/>
      <c r="O19" s="16"/>
      <c r="P19" s="16"/>
      <c r="Q19" s="16"/>
      <c r="R19" s="16"/>
      <c r="S19" s="16"/>
      <c r="T19" s="17"/>
    </row>
    <row r="20" spans="1:20" hidden="1" x14ac:dyDescent="0.35">
      <c r="A20" s="12"/>
      <c r="B20" s="211" t="s">
        <v>199</v>
      </c>
      <c r="C20" s="181"/>
      <c r="E20" s="207"/>
      <c r="F20" s="208"/>
      <c r="G20" s="19"/>
      <c r="H20" s="19"/>
      <c r="I20" s="15"/>
      <c r="J20" s="16"/>
      <c r="K20" s="16"/>
      <c r="L20" s="16"/>
      <c r="M20" s="16"/>
      <c r="N20" s="358"/>
      <c r="O20" s="16"/>
      <c r="P20" s="16"/>
      <c r="Q20" s="16"/>
      <c r="R20" s="16"/>
      <c r="S20" s="16"/>
      <c r="T20" s="17"/>
    </row>
    <row r="21" spans="1:20" ht="37.5" hidden="1" customHeight="1" x14ac:dyDescent="0.35">
      <c r="A21" s="12"/>
      <c r="B21" s="211" t="s">
        <v>200</v>
      </c>
      <c r="C21" s="181"/>
      <c r="E21" s="207"/>
      <c r="F21" s="208"/>
      <c r="G21" s="19"/>
      <c r="H21" s="19"/>
      <c r="I21" s="15"/>
      <c r="J21" s="16"/>
      <c r="K21" s="16"/>
      <c r="L21" s="16"/>
      <c r="M21" s="16"/>
      <c r="N21" s="358"/>
      <c r="O21" s="16"/>
      <c r="P21" s="16"/>
      <c r="Q21" s="16"/>
      <c r="R21" s="16"/>
      <c r="S21" s="16"/>
      <c r="T21" s="17"/>
    </row>
    <row r="22" spans="1:20" ht="40.5" hidden="1" customHeight="1" x14ac:dyDescent="0.35">
      <c r="A22" s="12"/>
      <c r="B22" s="211" t="s">
        <v>201</v>
      </c>
      <c r="C22" s="181"/>
      <c r="E22" s="207"/>
      <c r="F22" s="208"/>
      <c r="G22" s="19"/>
      <c r="H22" s="19"/>
      <c r="I22" s="15"/>
      <c r="J22" s="16"/>
      <c r="K22" s="16"/>
      <c r="L22" s="16"/>
      <c r="M22" s="16"/>
      <c r="N22" s="358"/>
      <c r="O22" s="16"/>
      <c r="P22" s="16"/>
      <c r="Q22" s="16"/>
      <c r="R22" s="16"/>
      <c r="S22" s="16"/>
      <c r="T22" s="17"/>
    </row>
    <row r="23" spans="1:20" ht="36.75" hidden="1" customHeight="1" x14ac:dyDescent="0.35">
      <c r="A23" s="12"/>
      <c r="B23" s="212" t="s">
        <v>202</v>
      </c>
      <c r="C23" s="312"/>
      <c r="D23" s="285"/>
      <c r="E23" s="207"/>
      <c r="F23" s="208"/>
      <c r="G23" s="11"/>
      <c r="H23" s="11"/>
      <c r="I23" s="20"/>
      <c r="J23" s="21"/>
      <c r="K23" s="21"/>
      <c r="L23" s="21"/>
      <c r="M23" s="21"/>
      <c r="N23" s="41"/>
      <c r="O23" s="21"/>
      <c r="P23" s="21"/>
      <c r="Q23" s="21"/>
      <c r="R23" s="21"/>
      <c r="S23" s="21"/>
      <c r="T23" s="22"/>
    </row>
    <row r="24" spans="1:20" s="126" customFormat="1" ht="16" customHeight="1" x14ac:dyDescent="0.35">
      <c r="A24" s="125"/>
      <c r="B24" s="508" t="s">
        <v>128</v>
      </c>
      <c r="C24" s="509"/>
      <c r="D24" s="509"/>
      <c r="E24" s="509"/>
      <c r="F24" s="509"/>
      <c r="G24" s="509"/>
      <c r="H24" s="509"/>
      <c r="I24" s="509"/>
      <c r="J24" s="509"/>
      <c r="K24" s="509"/>
      <c r="L24" s="509"/>
      <c r="M24" s="509"/>
      <c r="N24" s="509"/>
      <c r="O24" s="509"/>
      <c r="P24" s="509"/>
      <c r="Q24" s="509"/>
      <c r="R24" s="509"/>
      <c r="S24" s="509"/>
      <c r="T24" s="511"/>
    </row>
    <row r="25" spans="1:20" ht="15" customHeight="1" x14ac:dyDescent="0.35">
      <c r="A25" s="12"/>
      <c r="B25" s="5" t="s">
        <v>113</v>
      </c>
      <c r="C25" s="181" t="s">
        <v>212</v>
      </c>
      <c r="E25" s="149">
        <v>0</v>
      </c>
      <c r="F25" s="150">
        <v>3435</v>
      </c>
      <c r="G25" s="154">
        <f t="shared" ref="G25:H27" si="1">SUM(I25:T25)</f>
        <v>2963</v>
      </c>
      <c r="H25" s="532">
        <f t="shared" si="1"/>
        <v>2701</v>
      </c>
      <c r="I25" s="8">
        <v>262</v>
      </c>
      <c r="J25" s="8">
        <v>253</v>
      </c>
      <c r="K25" s="8">
        <v>259</v>
      </c>
      <c r="L25" s="138">
        <v>254</v>
      </c>
      <c r="M25" s="8">
        <v>255</v>
      </c>
      <c r="N25" s="8">
        <v>252</v>
      </c>
      <c r="O25" s="8">
        <v>247</v>
      </c>
      <c r="P25" s="8">
        <v>240</v>
      </c>
      <c r="Q25" s="8">
        <v>241</v>
      </c>
      <c r="R25" s="8">
        <v>236</v>
      </c>
      <c r="S25" s="8">
        <v>233</v>
      </c>
      <c r="T25" s="23">
        <v>231</v>
      </c>
    </row>
    <row r="26" spans="1:20" ht="15" customHeight="1" x14ac:dyDescent="0.35">
      <c r="A26" s="12"/>
      <c r="B26" s="193" t="s">
        <v>15</v>
      </c>
      <c r="C26" s="181" t="s">
        <v>212</v>
      </c>
      <c r="E26" s="151">
        <v>0</v>
      </c>
      <c r="F26" s="152">
        <v>1807</v>
      </c>
      <c r="G26" s="155">
        <f t="shared" si="1"/>
        <v>1543</v>
      </c>
      <c r="H26" s="533">
        <f t="shared" si="1"/>
        <v>1406</v>
      </c>
      <c r="I26" s="138">
        <v>137</v>
      </c>
      <c r="J26" s="8">
        <v>129</v>
      </c>
      <c r="K26" s="8">
        <v>133</v>
      </c>
      <c r="L26" s="138">
        <v>131</v>
      </c>
      <c r="M26" s="8">
        <v>132</v>
      </c>
      <c r="N26" s="8">
        <v>131</v>
      </c>
      <c r="O26" s="8">
        <v>128</v>
      </c>
      <c r="P26" s="8">
        <v>123</v>
      </c>
      <c r="Q26" s="8">
        <v>124</v>
      </c>
      <c r="R26" s="8">
        <v>126</v>
      </c>
      <c r="S26" s="8">
        <v>124</v>
      </c>
      <c r="T26" s="23">
        <v>125</v>
      </c>
    </row>
    <row r="27" spans="1:20" ht="15" customHeight="1" x14ac:dyDescent="0.35">
      <c r="A27" s="12"/>
      <c r="B27" s="193" t="s">
        <v>16</v>
      </c>
      <c r="C27" s="181" t="s">
        <v>212</v>
      </c>
      <c r="E27" s="151">
        <v>0</v>
      </c>
      <c r="F27" s="152">
        <v>1664</v>
      </c>
      <c r="G27" s="155">
        <f t="shared" si="1"/>
        <v>1420</v>
      </c>
      <c r="H27" s="533">
        <f t="shared" si="1"/>
        <v>1295</v>
      </c>
      <c r="I27" s="8">
        <v>125</v>
      </c>
      <c r="J27" s="8">
        <v>124</v>
      </c>
      <c r="K27" s="8">
        <v>126</v>
      </c>
      <c r="L27" s="138">
        <v>123</v>
      </c>
      <c r="M27" s="8">
        <v>123</v>
      </c>
      <c r="N27" s="8">
        <v>121</v>
      </c>
      <c r="O27" s="8">
        <v>119</v>
      </c>
      <c r="P27" s="8">
        <v>117</v>
      </c>
      <c r="Q27" s="8">
        <v>117</v>
      </c>
      <c r="R27" s="8">
        <v>110</v>
      </c>
      <c r="S27" s="8">
        <v>109</v>
      </c>
      <c r="T27" s="23">
        <v>106</v>
      </c>
    </row>
    <row r="28" spans="1:20" ht="15" customHeight="1" x14ac:dyDescent="0.35">
      <c r="A28" s="12"/>
      <c r="B28" s="193" t="s">
        <v>215</v>
      </c>
      <c r="C28" s="181"/>
      <c r="E28" s="151"/>
      <c r="F28" s="152"/>
      <c r="G28" s="155"/>
      <c r="H28" s="155"/>
      <c r="I28" s="8">
        <v>194</v>
      </c>
      <c r="J28" s="8">
        <v>187</v>
      </c>
      <c r="K28" s="8">
        <v>192</v>
      </c>
      <c r="L28" s="138">
        <v>188</v>
      </c>
      <c r="M28" s="8">
        <v>191</v>
      </c>
      <c r="N28" s="8">
        <v>187</v>
      </c>
      <c r="O28" s="8">
        <v>185</v>
      </c>
      <c r="P28" s="8">
        <v>180</v>
      </c>
      <c r="Q28" s="8">
        <v>181</v>
      </c>
      <c r="R28" s="8">
        <v>177</v>
      </c>
      <c r="S28" s="8">
        <v>173</v>
      </c>
      <c r="T28" s="23">
        <v>173</v>
      </c>
    </row>
    <row r="29" spans="1:20" ht="15" customHeight="1" x14ac:dyDescent="0.35">
      <c r="A29" s="12"/>
      <c r="B29" s="193" t="s">
        <v>216</v>
      </c>
      <c r="C29" s="181"/>
      <c r="E29" s="151"/>
      <c r="F29" s="152"/>
      <c r="G29" s="155"/>
      <c r="H29" s="155"/>
      <c r="I29" s="8">
        <v>40</v>
      </c>
      <c r="J29" s="8">
        <v>40</v>
      </c>
      <c r="K29" s="8">
        <v>41</v>
      </c>
      <c r="L29" s="138">
        <v>41</v>
      </c>
      <c r="M29" s="8">
        <v>39</v>
      </c>
      <c r="N29" s="8">
        <v>19</v>
      </c>
      <c r="O29" s="138">
        <v>39</v>
      </c>
      <c r="P29" s="8">
        <v>37</v>
      </c>
      <c r="Q29" s="8">
        <v>37</v>
      </c>
      <c r="R29" s="8">
        <v>36</v>
      </c>
      <c r="S29" s="138">
        <v>37</v>
      </c>
      <c r="T29" s="23">
        <v>37</v>
      </c>
    </row>
    <row r="30" spans="1:20" ht="15" customHeight="1" x14ac:dyDescent="0.35">
      <c r="A30" s="12"/>
      <c r="B30" s="193" t="s">
        <v>218</v>
      </c>
      <c r="C30" s="181"/>
      <c r="E30" s="151"/>
      <c r="F30" s="152"/>
      <c r="G30" s="155"/>
      <c r="H30" s="155"/>
      <c r="I30" s="8">
        <v>22</v>
      </c>
      <c r="J30" s="8">
        <v>20</v>
      </c>
      <c r="K30" s="8">
        <v>20</v>
      </c>
      <c r="L30" s="138">
        <v>19</v>
      </c>
      <c r="M30" s="8">
        <v>19</v>
      </c>
      <c r="N30" s="8">
        <v>40</v>
      </c>
      <c r="O30" s="8">
        <v>17</v>
      </c>
      <c r="P30" s="8">
        <v>17</v>
      </c>
      <c r="Q30" s="8">
        <v>17</v>
      </c>
      <c r="R30" s="8">
        <v>17</v>
      </c>
      <c r="S30" s="8">
        <v>17</v>
      </c>
      <c r="T30" s="23">
        <v>15</v>
      </c>
    </row>
    <row r="31" spans="1:20" ht="15" customHeight="1" x14ac:dyDescent="0.35">
      <c r="A31" s="12"/>
      <c r="B31" s="193" t="s">
        <v>217</v>
      </c>
      <c r="C31" s="181"/>
      <c r="E31" s="151"/>
      <c r="F31" s="152"/>
      <c r="G31" s="155"/>
      <c r="H31" s="155"/>
      <c r="I31" s="8">
        <v>6</v>
      </c>
      <c r="J31" s="8">
        <v>6</v>
      </c>
      <c r="K31" s="8">
        <v>6</v>
      </c>
      <c r="L31" s="138">
        <v>6</v>
      </c>
      <c r="M31" s="8">
        <v>6</v>
      </c>
      <c r="N31" s="8">
        <v>6</v>
      </c>
      <c r="O31" s="8">
        <v>6</v>
      </c>
      <c r="P31" s="8">
        <v>6</v>
      </c>
      <c r="Q31" s="8">
        <v>6</v>
      </c>
      <c r="R31" s="8">
        <v>6</v>
      </c>
      <c r="S31" s="8">
        <v>6</v>
      </c>
      <c r="T31" s="23">
        <v>6</v>
      </c>
    </row>
    <row r="32" spans="1:20" ht="15" customHeight="1" x14ac:dyDescent="0.35">
      <c r="A32" s="12"/>
      <c r="B32" s="193" t="s">
        <v>114</v>
      </c>
      <c r="C32" s="181" t="s">
        <v>212</v>
      </c>
      <c r="E32" s="151">
        <v>0</v>
      </c>
      <c r="F32" s="152">
        <v>1429</v>
      </c>
      <c r="G32" s="155">
        <f t="shared" ref="G32:G43" si="2">SUM(I32:T32)</f>
        <v>609</v>
      </c>
      <c r="H32" s="533">
        <f t="shared" ref="H32:H43" si="3">SUM(J32:U32)</f>
        <v>558</v>
      </c>
      <c r="I32" s="8">
        <v>51</v>
      </c>
      <c r="J32" s="8">
        <v>42</v>
      </c>
      <c r="K32" s="8">
        <v>47</v>
      </c>
      <c r="L32" s="138">
        <v>49</v>
      </c>
      <c r="M32" s="8">
        <v>54</v>
      </c>
      <c r="N32" s="8">
        <v>51</v>
      </c>
      <c r="O32" s="8">
        <v>49</v>
      </c>
      <c r="P32" s="8">
        <v>53</v>
      </c>
      <c r="Q32" s="8">
        <v>50</v>
      </c>
      <c r="R32" s="8">
        <v>53</v>
      </c>
      <c r="S32" s="8">
        <v>57</v>
      </c>
      <c r="T32" s="23">
        <v>53</v>
      </c>
    </row>
    <row r="33" spans="1:20" ht="15" customHeight="1" x14ac:dyDescent="0.35">
      <c r="A33" s="12"/>
      <c r="B33" s="193" t="s">
        <v>115</v>
      </c>
      <c r="C33" s="181" t="s">
        <v>212</v>
      </c>
      <c r="E33" s="151">
        <v>0</v>
      </c>
      <c r="F33" s="152">
        <v>949</v>
      </c>
      <c r="G33" s="155">
        <f t="shared" si="2"/>
        <v>531</v>
      </c>
      <c r="H33" s="533">
        <f t="shared" si="3"/>
        <v>483</v>
      </c>
      <c r="I33" s="8">
        <v>48</v>
      </c>
      <c r="J33" s="8">
        <v>50</v>
      </c>
      <c r="K33" s="8">
        <v>54</v>
      </c>
      <c r="L33" s="138">
        <v>49</v>
      </c>
      <c r="M33" s="8">
        <v>46</v>
      </c>
      <c r="N33" s="8">
        <v>42</v>
      </c>
      <c r="O33" s="8">
        <v>44</v>
      </c>
      <c r="P33" s="8">
        <v>42</v>
      </c>
      <c r="Q33" s="8">
        <v>47</v>
      </c>
      <c r="R33" s="8">
        <v>43</v>
      </c>
      <c r="S33" s="8">
        <v>33</v>
      </c>
      <c r="T33" s="23">
        <v>33</v>
      </c>
    </row>
    <row r="34" spans="1:20" ht="15" customHeight="1" x14ac:dyDescent="0.35">
      <c r="A34" s="12"/>
      <c r="B34" s="193" t="s">
        <v>116</v>
      </c>
      <c r="C34" s="181" t="s">
        <v>212</v>
      </c>
      <c r="E34" s="151">
        <v>0</v>
      </c>
      <c r="F34" s="152">
        <v>1093</v>
      </c>
      <c r="G34" s="155">
        <f t="shared" si="2"/>
        <v>1823</v>
      </c>
      <c r="H34" s="533">
        <f t="shared" si="3"/>
        <v>1660</v>
      </c>
      <c r="I34" s="8">
        <v>163</v>
      </c>
      <c r="J34" s="8">
        <v>161</v>
      </c>
      <c r="K34" s="8">
        <v>158</v>
      </c>
      <c r="L34" s="138">
        <v>156</v>
      </c>
      <c r="M34" s="8">
        <v>155</v>
      </c>
      <c r="N34" s="8">
        <v>159</v>
      </c>
      <c r="O34" s="8">
        <v>154</v>
      </c>
      <c r="P34" s="8">
        <v>145</v>
      </c>
      <c r="Q34" s="8">
        <v>144</v>
      </c>
      <c r="R34" s="8">
        <v>140</v>
      </c>
      <c r="S34" s="8">
        <v>143</v>
      </c>
      <c r="T34" s="23">
        <v>145</v>
      </c>
    </row>
    <row r="35" spans="1:20" ht="27" customHeight="1" x14ac:dyDescent="0.35">
      <c r="A35" s="12"/>
      <c r="B35" s="24" t="s">
        <v>122</v>
      </c>
      <c r="C35" s="181" t="s">
        <v>212</v>
      </c>
      <c r="D35" s="285"/>
      <c r="E35" s="151">
        <v>0</v>
      </c>
      <c r="F35" s="152">
        <v>211</v>
      </c>
      <c r="G35" s="155">
        <f t="shared" si="2"/>
        <v>328</v>
      </c>
      <c r="H35" s="533">
        <f t="shared" si="3"/>
        <v>301</v>
      </c>
      <c r="I35" s="8">
        <v>27</v>
      </c>
      <c r="J35" s="8">
        <v>27</v>
      </c>
      <c r="K35" s="8">
        <v>29</v>
      </c>
      <c r="L35" s="138">
        <v>27</v>
      </c>
      <c r="M35" s="8">
        <v>26</v>
      </c>
      <c r="N35" s="8">
        <v>27</v>
      </c>
      <c r="O35" s="8">
        <v>29</v>
      </c>
      <c r="P35" s="8">
        <v>28</v>
      </c>
      <c r="Q35" s="8">
        <v>25</v>
      </c>
      <c r="R35" s="8">
        <v>25</v>
      </c>
      <c r="S35" s="8">
        <v>28</v>
      </c>
      <c r="T35" s="23">
        <v>30</v>
      </c>
    </row>
    <row r="36" spans="1:20" ht="15" customHeight="1" x14ac:dyDescent="0.35">
      <c r="A36" s="12"/>
      <c r="B36" s="18" t="s">
        <v>123</v>
      </c>
      <c r="C36" s="181" t="s">
        <v>212</v>
      </c>
      <c r="E36" s="151">
        <v>0</v>
      </c>
      <c r="F36" s="152">
        <v>212</v>
      </c>
      <c r="G36" s="155">
        <f t="shared" si="2"/>
        <v>57</v>
      </c>
      <c r="H36" s="533">
        <f t="shared" si="3"/>
        <v>47</v>
      </c>
      <c r="I36" s="46">
        <v>10</v>
      </c>
      <c r="J36" s="8">
        <v>2</v>
      </c>
      <c r="K36" s="8">
        <v>13</v>
      </c>
      <c r="L36" s="138">
        <v>2</v>
      </c>
      <c r="M36" s="8">
        <v>5</v>
      </c>
      <c r="N36" s="8">
        <v>1</v>
      </c>
      <c r="O36" s="8">
        <v>3</v>
      </c>
      <c r="P36" s="8">
        <v>5</v>
      </c>
      <c r="Q36" s="8">
        <v>2</v>
      </c>
      <c r="R36" s="8">
        <v>7</v>
      </c>
      <c r="S36" s="8">
        <v>4</v>
      </c>
      <c r="T36" s="23">
        <v>3</v>
      </c>
    </row>
    <row r="37" spans="1:20" ht="15" customHeight="1" x14ac:dyDescent="0.35">
      <c r="A37" s="12"/>
      <c r="B37" s="18" t="s">
        <v>124</v>
      </c>
      <c r="C37" s="181" t="s">
        <v>212</v>
      </c>
      <c r="E37" s="151">
        <v>0</v>
      </c>
      <c r="F37" s="152">
        <v>213</v>
      </c>
      <c r="G37" s="155">
        <f t="shared" si="2"/>
        <v>84</v>
      </c>
      <c r="H37" s="533">
        <f t="shared" si="3"/>
        <v>78</v>
      </c>
      <c r="I37" s="46">
        <v>6</v>
      </c>
      <c r="J37" s="8">
        <v>14</v>
      </c>
      <c r="K37" s="8">
        <v>5</v>
      </c>
      <c r="L37" s="138">
        <v>7</v>
      </c>
      <c r="M37" s="8">
        <v>4</v>
      </c>
      <c r="N37" s="8">
        <v>4</v>
      </c>
      <c r="O37" s="8">
        <v>8</v>
      </c>
      <c r="P37" s="8">
        <v>12</v>
      </c>
      <c r="Q37" s="8">
        <v>1</v>
      </c>
      <c r="R37" s="8">
        <v>12</v>
      </c>
      <c r="S37" s="8">
        <v>7</v>
      </c>
      <c r="T37" s="23">
        <v>4</v>
      </c>
    </row>
    <row r="38" spans="1:20" ht="15" customHeight="1" x14ac:dyDescent="0.35">
      <c r="A38" s="12"/>
      <c r="B38" s="193" t="s">
        <v>35</v>
      </c>
      <c r="C38" s="181" t="s">
        <v>212</v>
      </c>
      <c r="E38" s="151">
        <v>0</v>
      </c>
      <c r="F38" s="152">
        <v>214</v>
      </c>
      <c r="G38" s="155">
        <f t="shared" si="2"/>
        <v>20</v>
      </c>
      <c r="H38" s="533">
        <f t="shared" si="3"/>
        <v>20</v>
      </c>
      <c r="I38" s="274">
        <v>0</v>
      </c>
      <c r="J38" s="27">
        <v>9</v>
      </c>
      <c r="K38" s="27">
        <v>1</v>
      </c>
      <c r="L38" s="138">
        <v>0</v>
      </c>
      <c r="M38" s="27">
        <v>1</v>
      </c>
      <c r="N38" s="27">
        <v>0</v>
      </c>
      <c r="O38" s="27">
        <v>2</v>
      </c>
      <c r="P38" s="27">
        <v>0</v>
      </c>
      <c r="Q38" s="27">
        <v>0</v>
      </c>
      <c r="R38" s="27">
        <v>0</v>
      </c>
      <c r="S38" s="8">
        <v>4</v>
      </c>
      <c r="T38" s="28">
        <v>3</v>
      </c>
    </row>
    <row r="39" spans="1:20" ht="15" customHeight="1" x14ac:dyDescent="0.35">
      <c r="A39" s="12"/>
      <c r="B39" s="193" t="s">
        <v>40</v>
      </c>
      <c r="C39" s="181" t="s">
        <v>212</v>
      </c>
      <c r="E39" s="151">
        <v>0</v>
      </c>
      <c r="F39" s="152">
        <v>215</v>
      </c>
      <c r="G39" s="155">
        <f t="shared" si="2"/>
        <v>3</v>
      </c>
      <c r="H39" s="533">
        <f t="shared" si="3"/>
        <v>1</v>
      </c>
      <c r="I39" s="274">
        <v>2</v>
      </c>
      <c r="J39" s="27">
        <v>0</v>
      </c>
      <c r="K39" s="27">
        <v>0</v>
      </c>
      <c r="L39" s="138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1</v>
      </c>
      <c r="S39" s="8">
        <v>0</v>
      </c>
      <c r="T39" s="28">
        <v>0</v>
      </c>
    </row>
    <row r="40" spans="1:20" ht="15" customHeight="1" x14ac:dyDescent="0.35">
      <c r="A40" s="12"/>
      <c r="B40" s="193" t="s">
        <v>36</v>
      </c>
      <c r="C40" s="181" t="s">
        <v>212</v>
      </c>
      <c r="E40" s="151">
        <v>0</v>
      </c>
      <c r="F40" s="152">
        <v>216</v>
      </c>
      <c r="G40" s="155">
        <f t="shared" si="2"/>
        <v>11</v>
      </c>
      <c r="H40" s="533">
        <f t="shared" si="3"/>
        <v>11</v>
      </c>
      <c r="I40" s="274">
        <v>0</v>
      </c>
      <c r="J40" s="27">
        <v>1</v>
      </c>
      <c r="K40" s="27">
        <v>2</v>
      </c>
      <c r="L40" s="138">
        <v>4</v>
      </c>
      <c r="M40" s="27">
        <v>0</v>
      </c>
      <c r="N40" s="27">
        <v>0</v>
      </c>
      <c r="O40" s="27">
        <v>0</v>
      </c>
      <c r="P40" s="27">
        <v>2</v>
      </c>
      <c r="Q40" s="27">
        <v>0</v>
      </c>
      <c r="R40" s="27">
        <v>2</v>
      </c>
      <c r="S40" s="8">
        <v>0</v>
      </c>
      <c r="T40" s="28">
        <v>0</v>
      </c>
    </row>
    <row r="41" spans="1:20" ht="15" customHeight="1" x14ac:dyDescent="0.35">
      <c r="A41" s="12"/>
      <c r="B41" s="193" t="s">
        <v>37</v>
      </c>
      <c r="C41" s="181" t="s">
        <v>212</v>
      </c>
      <c r="E41" s="151">
        <v>0</v>
      </c>
      <c r="F41" s="152">
        <v>217</v>
      </c>
      <c r="G41" s="155">
        <f t="shared" si="2"/>
        <v>30</v>
      </c>
      <c r="H41" s="533">
        <f t="shared" si="3"/>
        <v>30</v>
      </c>
      <c r="I41" s="274">
        <v>0</v>
      </c>
      <c r="J41" s="27">
        <v>3</v>
      </c>
      <c r="K41" s="27">
        <v>1</v>
      </c>
      <c r="L41" s="138">
        <v>2</v>
      </c>
      <c r="M41" s="27">
        <v>1</v>
      </c>
      <c r="N41" s="27">
        <v>3</v>
      </c>
      <c r="O41" s="27">
        <v>5</v>
      </c>
      <c r="P41" s="27">
        <v>8</v>
      </c>
      <c r="Q41" s="27">
        <v>0</v>
      </c>
      <c r="R41" s="27">
        <v>6</v>
      </c>
      <c r="S41" s="8">
        <v>0</v>
      </c>
      <c r="T41" s="28">
        <v>1</v>
      </c>
    </row>
    <row r="42" spans="1:20" ht="15" customHeight="1" x14ac:dyDescent="0.35">
      <c r="A42" s="12"/>
      <c r="B42" s="193" t="s">
        <v>125</v>
      </c>
      <c r="C42" s="181" t="s">
        <v>212</v>
      </c>
      <c r="E42" s="151">
        <v>0</v>
      </c>
      <c r="F42" s="152">
        <v>218</v>
      </c>
      <c r="G42" s="155">
        <f t="shared" si="2"/>
        <v>16</v>
      </c>
      <c r="H42" s="533">
        <f t="shared" si="3"/>
        <v>12</v>
      </c>
      <c r="I42" s="274">
        <v>4</v>
      </c>
      <c r="J42" s="27">
        <v>0</v>
      </c>
      <c r="K42" s="27">
        <v>1</v>
      </c>
      <c r="L42" s="138">
        <v>0</v>
      </c>
      <c r="M42" s="27">
        <v>0</v>
      </c>
      <c r="N42" s="27">
        <v>1</v>
      </c>
      <c r="O42" s="27">
        <v>1</v>
      </c>
      <c r="P42" s="27">
        <v>2</v>
      </c>
      <c r="Q42" s="27">
        <v>1</v>
      </c>
      <c r="R42" s="27">
        <v>3</v>
      </c>
      <c r="S42" s="8">
        <v>3</v>
      </c>
      <c r="T42" s="28">
        <v>0</v>
      </c>
    </row>
    <row r="43" spans="1:20" ht="15" customHeight="1" x14ac:dyDescent="0.35">
      <c r="A43" s="12"/>
      <c r="B43" s="192" t="s">
        <v>117</v>
      </c>
      <c r="C43" s="181" t="s">
        <v>212</v>
      </c>
      <c r="D43" s="286"/>
      <c r="E43" s="153">
        <v>0</v>
      </c>
      <c r="F43" s="152">
        <v>219</v>
      </c>
      <c r="G43" s="155">
        <f t="shared" si="2"/>
        <v>5</v>
      </c>
      <c r="H43" s="533">
        <f t="shared" si="3"/>
        <v>5</v>
      </c>
      <c r="I43" s="275">
        <v>0</v>
      </c>
      <c r="J43" s="129">
        <v>1</v>
      </c>
      <c r="K43" s="129">
        <v>0</v>
      </c>
      <c r="L43" s="138">
        <v>1</v>
      </c>
      <c r="M43" s="129">
        <v>2</v>
      </c>
      <c r="N43" s="129">
        <v>0</v>
      </c>
      <c r="O43" s="129">
        <v>0</v>
      </c>
      <c r="P43" s="129">
        <v>0</v>
      </c>
      <c r="Q43" s="129">
        <v>0</v>
      </c>
      <c r="R43" s="129">
        <v>0</v>
      </c>
      <c r="S43" s="8">
        <v>0</v>
      </c>
      <c r="T43" s="45">
        <v>1</v>
      </c>
    </row>
    <row r="44" spans="1:20" s="126" customFormat="1" ht="16" customHeight="1" x14ac:dyDescent="0.35">
      <c r="A44" s="125"/>
      <c r="B44" s="496" t="s">
        <v>127</v>
      </c>
      <c r="C44" s="441"/>
      <c r="D44" s="441"/>
      <c r="E44" s="441"/>
      <c r="F44" s="441"/>
      <c r="G44" s="441"/>
      <c r="H44" s="441"/>
      <c r="I44" s="441"/>
      <c r="J44" s="441"/>
      <c r="K44" s="441"/>
      <c r="L44" s="441"/>
      <c r="M44" s="441"/>
      <c r="N44" s="441"/>
      <c r="O44" s="441"/>
      <c r="P44" s="441"/>
      <c r="Q44" s="441"/>
      <c r="R44" s="441"/>
      <c r="S44" s="441"/>
      <c r="T44" s="497"/>
    </row>
    <row r="45" spans="1:20" ht="15" customHeight="1" x14ac:dyDescent="0.35">
      <c r="A45" s="12"/>
      <c r="B45" s="5" t="s">
        <v>126</v>
      </c>
      <c r="C45" s="306"/>
      <c r="D45" s="280"/>
      <c r="E45" s="25">
        <v>5</v>
      </c>
      <c r="F45" s="25">
        <v>5</v>
      </c>
      <c r="G45" s="124">
        <f t="shared" ref="G45:H47" si="4">SUM(I45:T45)</f>
        <v>10</v>
      </c>
      <c r="H45" s="395">
        <f t="shared" si="4"/>
        <v>10</v>
      </c>
      <c r="I45" s="274">
        <v>0</v>
      </c>
      <c r="J45" s="27">
        <v>3</v>
      </c>
      <c r="K45" s="27">
        <v>0</v>
      </c>
      <c r="L45" s="138">
        <v>0</v>
      </c>
      <c r="M45" s="27">
        <v>0</v>
      </c>
      <c r="N45" s="27">
        <v>3</v>
      </c>
      <c r="O45" s="27">
        <v>1</v>
      </c>
      <c r="P45" s="27">
        <v>2</v>
      </c>
      <c r="Q45" s="27">
        <v>0</v>
      </c>
      <c r="R45" s="27">
        <v>1</v>
      </c>
      <c r="S45" s="27">
        <v>0</v>
      </c>
      <c r="T45" s="28">
        <v>0</v>
      </c>
    </row>
    <row r="46" spans="1:20" ht="15" customHeight="1" x14ac:dyDescent="0.35">
      <c r="A46" s="12"/>
      <c r="B46" s="18" t="s">
        <v>129</v>
      </c>
      <c r="C46" s="308"/>
      <c r="D46" s="282"/>
      <c r="E46" s="13">
        <v>19</v>
      </c>
      <c r="F46" s="13">
        <v>13</v>
      </c>
      <c r="G46" s="124">
        <f t="shared" si="4"/>
        <v>20</v>
      </c>
      <c r="H46" s="395">
        <f t="shared" si="4"/>
        <v>20</v>
      </c>
      <c r="I46" s="274">
        <v>0</v>
      </c>
      <c r="J46" s="27">
        <v>0</v>
      </c>
      <c r="K46" s="27">
        <v>1</v>
      </c>
      <c r="L46" s="138">
        <v>2</v>
      </c>
      <c r="M46" s="27">
        <v>1</v>
      </c>
      <c r="N46" s="27">
        <v>0</v>
      </c>
      <c r="O46" s="27">
        <v>4</v>
      </c>
      <c r="P46" s="27">
        <v>6</v>
      </c>
      <c r="Q46" s="27">
        <v>0</v>
      </c>
      <c r="R46" s="27">
        <v>5</v>
      </c>
      <c r="S46" s="27">
        <v>0</v>
      </c>
      <c r="T46" s="28">
        <v>1</v>
      </c>
    </row>
    <row r="47" spans="1:20" ht="15" customHeight="1" x14ac:dyDescent="0.35">
      <c r="A47" s="12"/>
      <c r="B47" s="18" t="s">
        <v>231</v>
      </c>
      <c r="C47" s="307"/>
      <c r="D47" s="281"/>
      <c r="E47" s="26">
        <v>14</v>
      </c>
      <c r="F47" s="26">
        <v>25</v>
      </c>
      <c r="G47" s="124">
        <f t="shared" si="4"/>
        <v>26</v>
      </c>
      <c r="H47" s="395">
        <f t="shared" si="4"/>
        <v>25</v>
      </c>
      <c r="I47" s="274">
        <v>1</v>
      </c>
      <c r="J47" s="27">
        <v>0</v>
      </c>
      <c r="K47" s="27">
        <v>2</v>
      </c>
      <c r="L47" s="138">
        <v>11</v>
      </c>
      <c r="M47" s="27">
        <v>0</v>
      </c>
      <c r="N47" s="27">
        <v>3</v>
      </c>
      <c r="O47" s="27">
        <v>1</v>
      </c>
      <c r="P47" s="27">
        <v>0</v>
      </c>
      <c r="Q47" s="27">
        <v>1</v>
      </c>
      <c r="R47" s="27">
        <v>6</v>
      </c>
      <c r="S47" s="27">
        <v>1</v>
      </c>
      <c r="T47" s="28"/>
    </row>
    <row r="48" spans="1:20" ht="15" hidden="1" customHeight="1" x14ac:dyDescent="0.35">
      <c r="A48" s="12"/>
      <c r="B48" s="18" t="s">
        <v>17</v>
      </c>
      <c r="C48" s="181"/>
      <c r="E48" s="515"/>
      <c r="F48" s="516"/>
      <c r="G48" s="525"/>
      <c r="H48" s="525"/>
      <c r="I48" s="15">
        <v>28</v>
      </c>
      <c r="J48" s="16">
        <v>29</v>
      </c>
      <c r="K48" s="16">
        <v>30</v>
      </c>
      <c r="L48" s="2" t="s">
        <v>39</v>
      </c>
      <c r="M48" s="16">
        <v>36</v>
      </c>
      <c r="N48" s="358">
        <v>36</v>
      </c>
      <c r="O48" s="16">
        <v>38</v>
      </c>
      <c r="P48" s="16">
        <v>30</v>
      </c>
      <c r="Q48" s="16">
        <v>30</v>
      </c>
      <c r="R48" s="16"/>
      <c r="S48" s="16"/>
      <c r="T48" s="28"/>
    </row>
    <row r="49" spans="1:20" ht="15" hidden="1" customHeight="1" x14ac:dyDescent="0.35">
      <c r="A49" s="12"/>
      <c r="B49" s="18" t="s">
        <v>18</v>
      </c>
      <c r="C49" s="181"/>
      <c r="E49" s="515"/>
      <c r="F49" s="516"/>
      <c r="G49" s="525"/>
      <c r="H49" s="525"/>
      <c r="I49" s="29">
        <v>23</v>
      </c>
      <c r="J49" s="29">
        <v>29</v>
      </c>
      <c r="K49" s="29">
        <v>21</v>
      </c>
      <c r="L49" s="2" t="s">
        <v>39</v>
      </c>
      <c r="M49" s="2" t="s">
        <v>39</v>
      </c>
      <c r="N49" s="359" t="s">
        <v>39</v>
      </c>
      <c r="O49" s="2" t="s">
        <v>39</v>
      </c>
      <c r="P49" s="2" t="s">
        <v>39</v>
      </c>
      <c r="Q49" s="29"/>
      <c r="R49" s="29"/>
      <c r="S49" s="16"/>
      <c r="T49" s="28"/>
    </row>
    <row r="50" spans="1:20" ht="15" hidden="1" customHeight="1" x14ac:dyDescent="0.35">
      <c r="A50" s="12"/>
      <c r="B50" s="18" t="s">
        <v>22</v>
      </c>
      <c r="C50" s="306"/>
      <c r="D50" s="280"/>
      <c r="E50" s="217">
        <v>52</v>
      </c>
      <c r="F50" s="218">
        <v>70</v>
      </c>
      <c r="G50" s="25">
        <f>SUM(I50:T50)</f>
        <v>12</v>
      </c>
      <c r="H50" s="25">
        <f>SUM(J50:U50)</f>
        <v>6</v>
      </c>
      <c r="I50" s="15">
        <v>6</v>
      </c>
      <c r="J50" s="16">
        <v>6</v>
      </c>
      <c r="K50" s="2" t="s">
        <v>39</v>
      </c>
      <c r="L50" s="2" t="s">
        <v>39</v>
      </c>
      <c r="M50" s="2" t="s">
        <v>39</v>
      </c>
      <c r="N50" s="359" t="s">
        <v>39</v>
      </c>
      <c r="O50" s="2" t="s">
        <v>39</v>
      </c>
      <c r="P50" s="16">
        <v>0</v>
      </c>
      <c r="Q50" s="16">
        <v>0</v>
      </c>
      <c r="R50" s="16"/>
      <c r="S50" s="16"/>
      <c r="T50" s="17"/>
    </row>
    <row r="51" spans="1:20" ht="15" hidden="1" customHeight="1" x14ac:dyDescent="0.35">
      <c r="A51" s="12"/>
      <c r="B51" s="10" t="s">
        <v>21</v>
      </c>
      <c r="C51" s="307"/>
      <c r="D51" s="281"/>
      <c r="E51" s="219">
        <v>269</v>
      </c>
      <c r="F51" s="220">
        <v>300</v>
      </c>
      <c r="G51" s="26">
        <f>SUM(I51:T51)</f>
        <v>250</v>
      </c>
      <c r="H51" s="26">
        <f>SUM(J51:U51)</f>
        <v>217</v>
      </c>
      <c r="I51" s="20">
        <v>33</v>
      </c>
      <c r="J51" s="21">
        <v>22</v>
      </c>
      <c r="K51" s="29">
        <v>17</v>
      </c>
      <c r="L51" s="29">
        <v>23</v>
      </c>
      <c r="M51" s="29">
        <v>23</v>
      </c>
      <c r="N51" s="360">
        <v>32</v>
      </c>
      <c r="O51" s="21">
        <v>30</v>
      </c>
      <c r="P51" s="21">
        <v>34</v>
      </c>
      <c r="Q51" s="21">
        <v>36</v>
      </c>
      <c r="R51" s="21"/>
      <c r="S51" s="21"/>
      <c r="T51" s="22"/>
    </row>
    <row r="52" spans="1:20" s="126" customFormat="1" ht="16" customHeight="1" x14ac:dyDescent="0.35">
      <c r="A52" s="125"/>
      <c r="B52" s="508" t="s">
        <v>203</v>
      </c>
      <c r="C52" s="509"/>
      <c r="D52" s="509"/>
      <c r="E52" s="509"/>
      <c r="F52" s="509"/>
      <c r="G52" s="509"/>
      <c r="H52" s="509"/>
      <c r="I52" s="509"/>
      <c r="J52" s="509"/>
      <c r="K52" s="509"/>
      <c r="L52" s="509"/>
      <c r="M52" s="509"/>
      <c r="N52" s="509"/>
      <c r="O52" s="509"/>
      <c r="P52" s="509"/>
      <c r="Q52" s="509"/>
      <c r="R52" s="509"/>
      <c r="S52" s="509"/>
      <c r="T52" s="511"/>
    </row>
    <row r="53" spans="1:20" ht="15" customHeight="1" x14ac:dyDescent="0.35">
      <c r="A53" s="12"/>
      <c r="B53" s="5" t="s">
        <v>130</v>
      </c>
      <c r="C53" s="181"/>
      <c r="E53" s="156">
        <v>0</v>
      </c>
      <c r="F53" s="157">
        <v>988</v>
      </c>
      <c r="G53" s="154">
        <f t="shared" ref="G53:H56" si="5">SUM(I53:T53)</f>
        <v>869</v>
      </c>
      <c r="H53" s="532">
        <f t="shared" si="5"/>
        <v>797</v>
      </c>
      <c r="I53" s="276">
        <v>72</v>
      </c>
      <c r="J53" s="130">
        <v>89</v>
      </c>
      <c r="K53" s="130">
        <v>64</v>
      </c>
      <c r="L53" s="276">
        <v>67</v>
      </c>
      <c r="M53" s="276">
        <v>69</v>
      </c>
      <c r="N53" s="130">
        <v>69</v>
      </c>
      <c r="O53" s="130">
        <v>69</v>
      </c>
      <c r="P53" s="130">
        <v>73</v>
      </c>
      <c r="Q53" s="130">
        <v>72</v>
      </c>
      <c r="R53" s="130">
        <v>73</v>
      </c>
      <c r="S53" s="130">
        <v>76</v>
      </c>
      <c r="T53" s="131">
        <v>76</v>
      </c>
    </row>
    <row r="54" spans="1:20" ht="15" customHeight="1" x14ac:dyDescent="0.35">
      <c r="A54" s="12"/>
      <c r="B54" s="193" t="s">
        <v>131</v>
      </c>
      <c r="C54" s="311"/>
      <c r="E54" s="156">
        <v>0</v>
      </c>
      <c r="F54" s="157">
        <v>27</v>
      </c>
      <c r="G54" s="155">
        <f t="shared" si="5"/>
        <v>16</v>
      </c>
      <c r="H54" s="533">
        <f t="shared" si="5"/>
        <v>15</v>
      </c>
      <c r="I54" s="241">
        <v>1</v>
      </c>
      <c r="J54" s="21">
        <v>0</v>
      </c>
      <c r="K54" s="21">
        <v>0</v>
      </c>
      <c r="L54" s="241">
        <v>1</v>
      </c>
      <c r="M54" s="21">
        <v>1</v>
      </c>
      <c r="N54" s="21">
        <v>3</v>
      </c>
      <c r="O54" s="21">
        <v>1</v>
      </c>
      <c r="P54" s="21">
        <v>3</v>
      </c>
      <c r="Q54" s="21">
        <v>2</v>
      </c>
      <c r="R54" s="21">
        <v>1</v>
      </c>
      <c r="S54" s="130">
        <v>3</v>
      </c>
      <c r="T54" s="130">
        <v>0</v>
      </c>
    </row>
    <row r="55" spans="1:20" ht="15" customHeight="1" x14ac:dyDescent="0.35">
      <c r="A55" s="12"/>
      <c r="B55" s="193" t="s">
        <v>132</v>
      </c>
      <c r="C55" s="311"/>
      <c r="E55" s="156">
        <v>0</v>
      </c>
      <c r="F55" s="157">
        <v>21</v>
      </c>
      <c r="G55" s="155">
        <f t="shared" si="5"/>
        <v>17</v>
      </c>
      <c r="H55" s="533">
        <f t="shared" si="5"/>
        <v>13</v>
      </c>
      <c r="I55" s="241">
        <v>4</v>
      </c>
      <c r="J55" s="21">
        <v>1</v>
      </c>
      <c r="K55" s="21">
        <v>1</v>
      </c>
      <c r="L55" s="241">
        <v>0</v>
      </c>
      <c r="M55" s="21">
        <v>4</v>
      </c>
      <c r="N55" s="21">
        <v>0</v>
      </c>
      <c r="O55" s="21">
        <v>3</v>
      </c>
      <c r="P55" s="21">
        <v>0</v>
      </c>
      <c r="Q55" s="21">
        <v>3</v>
      </c>
      <c r="R55" s="21">
        <v>1</v>
      </c>
      <c r="S55" s="130">
        <v>0</v>
      </c>
      <c r="T55" s="130">
        <v>0</v>
      </c>
    </row>
    <row r="56" spans="1:20" ht="15" customHeight="1" x14ac:dyDescent="0.35">
      <c r="A56" s="12"/>
      <c r="B56" s="30" t="s">
        <v>133</v>
      </c>
      <c r="E56" s="156">
        <v>0</v>
      </c>
      <c r="F56" s="157">
        <v>195</v>
      </c>
      <c r="G56" s="155">
        <f t="shared" si="5"/>
        <v>218</v>
      </c>
      <c r="H56" s="533">
        <f t="shared" si="5"/>
        <v>200</v>
      </c>
      <c r="I56" s="241">
        <v>18</v>
      </c>
      <c r="J56" s="21">
        <v>17</v>
      </c>
      <c r="K56" s="21">
        <v>17</v>
      </c>
      <c r="L56" s="241">
        <v>12</v>
      </c>
      <c r="M56" s="21">
        <v>9</v>
      </c>
      <c r="N56" s="21">
        <v>16</v>
      </c>
      <c r="O56" s="21">
        <v>21</v>
      </c>
      <c r="P56" s="21">
        <v>24</v>
      </c>
      <c r="Q56" s="21">
        <v>25</v>
      </c>
      <c r="R56" s="21">
        <v>17</v>
      </c>
      <c r="S56" s="130">
        <v>22</v>
      </c>
      <c r="T56" s="22">
        <v>20</v>
      </c>
    </row>
    <row r="57" spans="1:20" s="126" customFormat="1" ht="16" customHeight="1" x14ac:dyDescent="0.35">
      <c r="A57" s="125"/>
      <c r="B57" s="496" t="s">
        <v>233</v>
      </c>
      <c r="C57" s="441"/>
      <c r="D57" s="441"/>
      <c r="E57" s="441"/>
      <c r="F57" s="441"/>
      <c r="G57" s="441"/>
      <c r="H57" s="441"/>
      <c r="I57" s="441"/>
      <c r="J57" s="441"/>
      <c r="K57" s="441"/>
      <c r="L57" s="441"/>
      <c r="M57" s="441"/>
      <c r="N57" s="441"/>
      <c r="O57" s="441"/>
      <c r="P57" s="441"/>
      <c r="Q57" s="441"/>
      <c r="R57" s="441"/>
      <c r="S57" s="441"/>
      <c r="T57" s="497"/>
    </row>
    <row r="58" spans="1:20" ht="15" customHeight="1" x14ac:dyDescent="0.35">
      <c r="A58" s="12"/>
      <c r="B58" s="32" t="s">
        <v>228</v>
      </c>
      <c r="C58" s="313"/>
      <c r="D58" s="280"/>
      <c r="E58" s="128">
        <v>388</v>
      </c>
      <c r="F58" s="6">
        <v>374</v>
      </c>
      <c r="G58" s="346">
        <f>I59</f>
        <v>500</v>
      </c>
      <c r="H58" s="405">
        <f t="shared" ref="H58:H63" si="6">SUM(J58:U58)</f>
        <v>386</v>
      </c>
      <c r="I58" s="33">
        <v>225</v>
      </c>
      <c r="J58" s="33" t="s">
        <v>41</v>
      </c>
      <c r="K58" s="33" t="s">
        <v>41</v>
      </c>
      <c r="L58" s="33" t="s">
        <v>41</v>
      </c>
      <c r="M58" s="33" t="s">
        <v>41</v>
      </c>
      <c r="N58" s="33" t="s">
        <v>41</v>
      </c>
      <c r="O58" s="34" t="s">
        <v>41</v>
      </c>
      <c r="P58" s="34" t="s">
        <v>41</v>
      </c>
      <c r="Q58" s="34" t="s">
        <v>41</v>
      </c>
      <c r="R58" s="34" t="s">
        <v>41</v>
      </c>
      <c r="S58" s="34">
        <v>122</v>
      </c>
      <c r="T58" s="53">
        <v>264</v>
      </c>
    </row>
    <row r="59" spans="1:20" ht="15" customHeight="1" x14ac:dyDescent="0.35">
      <c r="A59" s="12"/>
      <c r="B59" s="193" t="s">
        <v>229</v>
      </c>
      <c r="C59" s="314"/>
      <c r="D59" s="282"/>
      <c r="E59" s="128">
        <v>755</v>
      </c>
      <c r="F59" s="19">
        <v>768</v>
      </c>
      <c r="G59" s="346">
        <f>I58</f>
        <v>225</v>
      </c>
      <c r="H59" s="405">
        <f t="shared" si="6"/>
        <v>800</v>
      </c>
      <c r="I59" s="36">
        <v>500</v>
      </c>
      <c r="J59" s="33" t="s">
        <v>41</v>
      </c>
      <c r="K59" s="33" t="s">
        <v>41</v>
      </c>
      <c r="L59" s="33" t="s">
        <v>41</v>
      </c>
      <c r="M59" s="33" t="s">
        <v>41</v>
      </c>
      <c r="N59" s="33" t="s">
        <v>41</v>
      </c>
      <c r="O59" s="34" t="s">
        <v>41</v>
      </c>
      <c r="P59" s="34" t="s">
        <v>41</v>
      </c>
      <c r="Q59" s="34" t="s">
        <v>41</v>
      </c>
      <c r="R59" s="34" t="s">
        <v>41</v>
      </c>
      <c r="S59" s="37">
        <v>240</v>
      </c>
      <c r="T59" s="35">
        <v>560</v>
      </c>
    </row>
    <row r="60" spans="1:20" ht="15" customHeight="1" x14ac:dyDescent="0.35">
      <c r="A60" s="12"/>
      <c r="B60" s="30" t="s">
        <v>224</v>
      </c>
      <c r="C60" s="315"/>
      <c r="D60" s="282"/>
      <c r="E60" s="128">
        <v>1600</v>
      </c>
      <c r="F60" s="19">
        <v>1484</v>
      </c>
      <c r="G60" s="346">
        <f>L60</f>
        <v>480</v>
      </c>
      <c r="H60" s="405">
        <f t="shared" si="6"/>
        <v>723</v>
      </c>
      <c r="I60" s="36" t="s">
        <v>41</v>
      </c>
      <c r="J60" s="36">
        <v>41</v>
      </c>
      <c r="K60" s="34">
        <v>202</v>
      </c>
      <c r="L60" s="270">
        <v>480</v>
      </c>
      <c r="M60" s="33" t="s">
        <v>41</v>
      </c>
      <c r="N60" s="33" t="s">
        <v>41</v>
      </c>
      <c r="O60" s="34" t="s">
        <v>41</v>
      </c>
      <c r="P60" s="34" t="s">
        <v>41</v>
      </c>
      <c r="Q60" s="34" t="s">
        <v>41</v>
      </c>
      <c r="R60" s="34" t="s">
        <v>41</v>
      </c>
      <c r="S60" s="34" t="s">
        <v>41</v>
      </c>
      <c r="T60" s="34" t="s">
        <v>41</v>
      </c>
    </row>
    <row r="61" spans="1:20" ht="15" customHeight="1" x14ac:dyDescent="0.35">
      <c r="A61" s="12"/>
      <c r="B61" s="193" t="s">
        <v>225</v>
      </c>
      <c r="C61" s="314"/>
      <c r="D61" s="282"/>
      <c r="E61" s="128">
        <v>3154</v>
      </c>
      <c r="F61" s="19">
        <v>3878</v>
      </c>
      <c r="G61" s="346">
        <f>L61</f>
        <v>1296</v>
      </c>
      <c r="H61" s="405">
        <f t="shared" si="6"/>
        <v>1916</v>
      </c>
      <c r="I61" s="36" t="s">
        <v>41</v>
      </c>
      <c r="J61" s="36">
        <v>99</v>
      </c>
      <c r="K61" s="34">
        <v>521</v>
      </c>
      <c r="L61" s="270">
        <v>1296</v>
      </c>
      <c r="M61" s="33" t="s">
        <v>41</v>
      </c>
      <c r="N61" s="33" t="s">
        <v>41</v>
      </c>
      <c r="O61" s="34" t="s">
        <v>41</v>
      </c>
      <c r="P61" s="34" t="s">
        <v>41</v>
      </c>
      <c r="Q61" s="34" t="s">
        <v>41</v>
      </c>
      <c r="R61" s="34" t="s">
        <v>41</v>
      </c>
      <c r="S61" s="34" t="s">
        <v>41</v>
      </c>
      <c r="T61" s="34" t="s">
        <v>41</v>
      </c>
    </row>
    <row r="62" spans="1:20" ht="15" customHeight="1" x14ac:dyDescent="0.35">
      <c r="A62" s="12"/>
      <c r="B62" s="30" t="s">
        <v>226</v>
      </c>
      <c r="C62" s="315"/>
      <c r="D62" s="282"/>
      <c r="E62" s="128">
        <v>2617</v>
      </c>
      <c r="F62" s="19">
        <v>2893</v>
      </c>
      <c r="G62" s="346">
        <f>N62</f>
        <v>907</v>
      </c>
      <c r="H62" s="405">
        <f t="shared" si="6"/>
        <v>3013</v>
      </c>
      <c r="I62" s="36" t="s">
        <v>41</v>
      </c>
      <c r="J62" s="36">
        <v>49</v>
      </c>
      <c r="K62" s="34">
        <v>337</v>
      </c>
      <c r="L62" s="270">
        <v>845</v>
      </c>
      <c r="M62" s="138">
        <v>875</v>
      </c>
      <c r="N62" s="34">
        <v>907</v>
      </c>
      <c r="O62" s="34" t="s">
        <v>41</v>
      </c>
      <c r="P62" s="34" t="s">
        <v>41</v>
      </c>
      <c r="Q62" s="34" t="s">
        <v>41</v>
      </c>
      <c r="R62" s="34" t="s">
        <v>41</v>
      </c>
      <c r="S62" s="34" t="s">
        <v>41</v>
      </c>
      <c r="T62" s="34" t="s">
        <v>41</v>
      </c>
    </row>
    <row r="63" spans="1:20" ht="15" customHeight="1" x14ac:dyDescent="0.35">
      <c r="A63" s="12"/>
      <c r="B63" s="192" t="s">
        <v>223</v>
      </c>
      <c r="C63" s="310"/>
      <c r="D63" s="281"/>
      <c r="E63" s="128">
        <v>4752</v>
      </c>
      <c r="F63" s="11">
        <v>6632</v>
      </c>
      <c r="G63" s="346">
        <f>N63</f>
        <v>2185</v>
      </c>
      <c r="H63" s="405">
        <f t="shared" si="6"/>
        <v>7146</v>
      </c>
      <c r="I63" s="36" t="s">
        <v>41</v>
      </c>
      <c r="J63" s="36">
        <v>111</v>
      </c>
      <c r="K63" s="34">
        <v>731</v>
      </c>
      <c r="L63" s="271">
        <v>2006</v>
      </c>
      <c r="M63" s="37">
        <v>2113</v>
      </c>
      <c r="N63" s="34">
        <v>2185</v>
      </c>
      <c r="O63" s="34" t="s">
        <v>41</v>
      </c>
      <c r="P63" s="34" t="s">
        <v>41</v>
      </c>
      <c r="Q63" s="34" t="s">
        <v>41</v>
      </c>
      <c r="R63" s="34" t="s">
        <v>41</v>
      </c>
      <c r="S63" s="34" t="s">
        <v>41</v>
      </c>
      <c r="T63" s="34" t="s">
        <v>41</v>
      </c>
    </row>
    <row r="64" spans="1:20" s="126" customFormat="1" ht="16" customHeight="1" x14ac:dyDescent="0.35">
      <c r="A64" s="125"/>
      <c r="B64" s="496" t="s">
        <v>95</v>
      </c>
      <c r="C64" s="441"/>
      <c r="D64" s="441"/>
      <c r="E64" s="441"/>
      <c r="F64" s="441"/>
      <c r="G64" s="441"/>
      <c r="H64" s="441"/>
      <c r="I64" s="441"/>
      <c r="J64" s="441"/>
      <c r="K64" s="441"/>
      <c r="L64" s="441"/>
      <c r="M64" s="441"/>
      <c r="N64" s="441"/>
      <c r="O64" s="441"/>
      <c r="P64" s="441"/>
      <c r="Q64" s="441"/>
      <c r="R64" s="441"/>
      <c r="S64" s="441"/>
      <c r="T64" s="497"/>
    </row>
    <row r="65" spans="1:21" ht="15" customHeight="1" x14ac:dyDescent="0.35">
      <c r="A65" s="12"/>
      <c r="B65" s="5" t="s">
        <v>134</v>
      </c>
      <c r="C65" s="181"/>
      <c r="E65" s="329">
        <v>2738194.7</v>
      </c>
      <c r="F65" s="39">
        <v>2602313.4900000002</v>
      </c>
      <c r="G65" s="392">
        <f t="shared" ref="G65:G76" si="7">SUM(I65:T65)</f>
        <v>3120996.8400000003</v>
      </c>
      <c r="H65" s="39">
        <f t="shared" ref="H65:H75" si="8">SUM(I65:U65)</f>
        <v>3120996.8400000003</v>
      </c>
      <c r="I65" s="40">
        <v>245027.05</v>
      </c>
      <c r="J65" s="42">
        <v>239874.15</v>
      </c>
      <c r="K65" s="42">
        <v>241057.84</v>
      </c>
      <c r="L65" s="272">
        <v>270516.49</v>
      </c>
      <c r="M65" s="42">
        <v>254126.74</v>
      </c>
      <c r="N65" s="42">
        <v>241340.57</v>
      </c>
      <c r="O65" s="42">
        <v>255157.06</v>
      </c>
      <c r="P65" s="42">
        <v>269866.15999999997</v>
      </c>
      <c r="Q65" s="42">
        <v>288953.59999999998</v>
      </c>
      <c r="R65" s="341">
        <v>258767.16</v>
      </c>
      <c r="S65" s="343">
        <v>276233.89</v>
      </c>
      <c r="T65" s="342">
        <v>280076.13</v>
      </c>
    </row>
    <row r="66" spans="1:21" ht="15" customHeight="1" x14ac:dyDescent="0.35">
      <c r="A66" s="12"/>
      <c r="B66" s="18" t="s">
        <v>135</v>
      </c>
      <c r="C66" s="181"/>
      <c r="E66" s="329">
        <v>27598.720000000005</v>
      </c>
      <c r="F66" s="39">
        <v>26937.960000000003</v>
      </c>
      <c r="G66" s="392">
        <f t="shared" si="7"/>
        <v>0</v>
      </c>
      <c r="H66" s="39">
        <f t="shared" si="8"/>
        <v>0</v>
      </c>
      <c r="I66" s="40">
        <v>0</v>
      </c>
      <c r="J66" s="40">
        <v>0</v>
      </c>
      <c r="K66" s="42">
        <v>0</v>
      </c>
      <c r="L66" s="42">
        <v>0</v>
      </c>
      <c r="M66" s="42">
        <v>0</v>
      </c>
      <c r="N66" s="42">
        <v>0</v>
      </c>
      <c r="O66" s="42">
        <v>0</v>
      </c>
      <c r="P66" s="42">
        <v>0</v>
      </c>
      <c r="Q66" s="42">
        <v>0</v>
      </c>
      <c r="R66" s="42">
        <v>0</v>
      </c>
      <c r="S66" s="138">
        <v>0</v>
      </c>
      <c r="T66" s="138">
        <v>0</v>
      </c>
    </row>
    <row r="67" spans="1:21" ht="15" customHeight="1" x14ac:dyDescent="0.35">
      <c r="A67" s="12"/>
      <c r="B67" s="18" t="s">
        <v>96</v>
      </c>
      <c r="C67" s="181"/>
      <c r="E67" s="329">
        <v>101712.98000000001</v>
      </c>
      <c r="F67" s="39">
        <v>118663.80000000002</v>
      </c>
      <c r="G67" s="392">
        <f t="shared" si="7"/>
        <v>93891.540000000008</v>
      </c>
      <c r="H67" s="39">
        <f t="shared" si="8"/>
        <v>93891.540000000008</v>
      </c>
      <c r="I67" s="40">
        <f>SUM(11560+11950)</f>
        <v>23510</v>
      </c>
      <c r="J67" s="42">
        <v>2280</v>
      </c>
      <c r="K67" s="326">
        <v>950</v>
      </c>
      <c r="L67" s="272">
        <f>11180+5272.12</f>
        <v>16452.12</v>
      </c>
      <c r="M67" s="42">
        <v>4745</v>
      </c>
      <c r="N67" s="42">
        <v>160</v>
      </c>
      <c r="O67" s="42">
        <f>13283.26+10230</f>
        <v>23513.260000000002</v>
      </c>
      <c r="P67" s="42">
        <v>560</v>
      </c>
      <c r="Q67" s="42">
        <v>320</v>
      </c>
      <c r="R67" s="341">
        <f>7288.76+10000</f>
        <v>17288.760000000002</v>
      </c>
      <c r="S67" s="343">
        <v>1070</v>
      </c>
      <c r="T67" s="326">
        <f>2020+1022.4</f>
        <v>3042.4</v>
      </c>
    </row>
    <row r="68" spans="1:21" ht="15" customHeight="1" x14ac:dyDescent="0.35">
      <c r="A68" s="12"/>
      <c r="B68" s="10" t="s">
        <v>97</v>
      </c>
      <c r="C68" s="181"/>
      <c r="E68" s="329">
        <v>39218.49</v>
      </c>
      <c r="F68" s="39">
        <v>19580.650000000001</v>
      </c>
      <c r="G68" s="392">
        <f t="shared" si="7"/>
        <v>40500.03</v>
      </c>
      <c r="H68" s="39">
        <f t="shared" si="8"/>
        <v>40500.03</v>
      </c>
      <c r="I68" s="326">
        <f>662.94+900</f>
        <v>1562.94</v>
      </c>
      <c r="J68" s="42">
        <v>1833</v>
      </c>
      <c r="K68" s="42">
        <v>2015</v>
      </c>
      <c r="L68" s="138">
        <v>1557.13</v>
      </c>
      <c r="M68" s="42">
        <v>7106.31</v>
      </c>
      <c r="N68" s="42">
        <v>2140</v>
      </c>
      <c r="O68" s="138">
        <v>1150</v>
      </c>
      <c r="P68" s="42">
        <v>6465.2</v>
      </c>
      <c r="Q68" s="42">
        <v>3815</v>
      </c>
      <c r="R68" s="138">
        <f>1323.75+1420</f>
        <v>2743.75</v>
      </c>
      <c r="S68" s="343">
        <f>1843.75+1935</f>
        <v>3778.75</v>
      </c>
      <c r="T68" s="342">
        <v>6332.95</v>
      </c>
    </row>
    <row r="69" spans="1:21" ht="15" customHeight="1" x14ac:dyDescent="0.35">
      <c r="A69" s="12"/>
      <c r="B69" s="5" t="s">
        <v>98</v>
      </c>
      <c r="C69" s="181"/>
      <c r="E69" s="329">
        <v>105088.07</v>
      </c>
      <c r="F69" s="39">
        <v>145806.03000000003</v>
      </c>
      <c r="G69" s="392">
        <f t="shared" si="7"/>
        <v>214106.31</v>
      </c>
      <c r="H69" s="39">
        <f t="shared" si="8"/>
        <v>214106.31</v>
      </c>
      <c r="I69" s="40">
        <v>11446.86</v>
      </c>
      <c r="J69" s="42">
        <f>30962.72+3626.05</f>
        <v>34588.770000000004</v>
      </c>
      <c r="K69" s="42">
        <f>8109.17+1766</f>
        <v>9875.17</v>
      </c>
      <c r="L69" s="272">
        <f>9328.48+1987.64</f>
        <v>11316.119999999999</v>
      </c>
      <c r="M69" s="42">
        <f>14537.56+2110+1430</f>
        <v>18077.559999999998</v>
      </c>
      <c r="N69" s="42">
        <f>1485+120+12676.53</f>
        <v>14281.53</v>
      </c>
      <c r="O69" s="138">
        <f>10981.76+2401+3754+333.19</f>
        <v>17469.95</v>
      </c>
      <c r="P69" s="42">
        <f>15569.13+3514.6+100</f>
        <v>19183.73</v>
      </c>
      <c r="Q69" s="42">
        <f>11259.01+2426.36+1620</f>
        <v>15305.37</v>
      </c>
      <c r="R69" s="341">
        <v>8628.19</v>
      </c>
      <c r="S69" s="343">
        <f>19543.09+1236</f>
        <v>20779.09</v>
      </c>
      <c r="T69" s="342">
        <f>31571.97+1582</f>
        <v>33153.97</v>
      </c>
    </row>
    <row r="70" spans="1:21" ht="15" customHeight="1" x14ac:dyDescent="0.35">
      <c r="A70" s="12"/>
      <c r="B70" s="18" t="s">
        <v>136</v>
      </c>
      <c r="C70" s="181"/>
      <c r="E70" s="329">
        <v>41296.51</v>
      </c>
      <c r="F70" s="39">
        <v>11808.15</v>
      </c>
      <c r="G70" s="392">
        <f t="shared" si="7"/>
        <v>63008.239999999991</v>
      </c>
      <c r="H70" s="39">
        <f t="shared" si="8"/>
        <v>63008.239999999991</v>
      </c>
      <c r="I70" s="40">
        <v>2404.5</v>
      </c>
      <c r="J70" s="42">
        <v>20948.7</v>
      </c>
      <c r="K70" s="42">
        <v>5469.68</v>
      </c>
      <c r="L70" s="272">
        <v>2264.6</v>
      </c>
      <c r="M70" s="138">
        <v>2157</v>
      </c>
      <c r="N70" s="42">
        <v>5444.92</v>
      </c>
      <c r="O70" s="42">
        <v>11903.06</v>
      </c>
      <c r="P70" s="42">
        <v>795</v>
      </c>
      <c r="Q70" s="42">
        <v>175</v>
      </c>
      <c r="R70" s="341">
        <v>727.82</v>
      </c>
      <c r="S70" s="326">
        <v>1942.3</v>
      </c>
      <c r="T70" s="342">
        <v>8775.66</v>
      </c>
    </row>
    <row r="71" spans="1:21" ht="15" customHeight="1" x14ac:dyDescent="0.35">
      <c r="A71" s="12"/>
      <c r="B71" s="18" t="s">
        <v>137</v>
      </c>
      <c r="C71" s="181"/>
      <c r="E71" s="329">
        <v>12821.310000000001</v>
      </c>
      <c r="F71" s="39">
        <v>82654.910000000018</v>
      </c>
      <c r="G71" s="392">
        <f t="shared" si="7"/>
        <v>26788.06</v>
      </c>
      <c r="H71" s="39">
        <f t="shared" si="8"/>
        <v>26788.06</v>
      </c>
      <c r="I71" s="40">
        <v>4131.54</v>
      </c>
      <c r="J71" s="138">
        <v>2620.5</v>
      </c>
      <c r="K71" s="42">
        <v>3911.4</v>
      </c>
      <c r="L71" s="272">
        <v>675</v>
      </c>
      <c r="M71" s="42">
        <v>3735</v>
      </c>
      <c r="N71" s="42">
        <v>379</v>
      </c>
      <c r="O71" s="42">
        <v>2453.87</v>
      </c>
      <c r="P71" s="42">
        <v>1080</v>
      </c>
      <c r="Q71" s="42">
        <v>1105</v>
      </c>
      <c r="R71" s="341">
        <v>2447</v>
      </c>
      <c r="S71" s="343">
        <v>1847</v>
      </c>
      <c r="T71" s="342">
        <v>2402.75</v>
      </c>
    </row>
    <row r="72" spans="1:21" ht="15" customHeight="1" x14ac:dyDescent="0.35">
      <c r="A72" s="12"/>
      <c r="B72" s="30" t="s">
        <v>138</v>
      </c>
      <c r="D72" s="287"/>
      <c r="E72" s="329">
        <v>1244</v>
      </c>
      <c r="F72" s="39">
        <v>1810</v>
      </c>
      <c r="G72" s="392">
        <f t="shared" si="7"/>
        <v>19313</v>
      </c>
      <c r="H72" s="39">
        <f t="shared" si="8"/>
        <v>19313</v>
      </c>
      <c r="I72" s="40">
        <v>0</v>
      </c>
      <c r="J72" s="40">
        <v>0</v>
      </c>
      <c r="K72" s="40">
        <v>4200</v>
      </c>
      <c r="L72" s="40">
        <v>4230</v>
      </c>
      <c r="M72" s="40">
        <v>810</v>
      </c>
      <c r="N72" s="40">
        <v>0</v>
      </c>
      <c r="O72" s="42">
        <v>0</v>
      </c>
      <c r="P72" s="42">
        <v>7168</v>
      </c>
      <c r="Q72" s="42">
        <v>2095</v>
      </c>
      <c r="R72" s="42">
        <v>810</v>
      </c>
      <c r="S72" s="42">
        <v>0</v>
      </c>
      <c r="T72" s="42">
        <v>0</v>
      </c>
    </row>
    <row r="73" spans="1:21" ht="1" customHeight="1" x14ac:dyDescent="0.35">
      <c r="A73" s="12"/>
      <c r="B73" s="30" t="s">
        <v>219</v>
      </c>
      <c r="D73" s="287"/>
      <c r="E73" s="329">
        <v>76144.849999999991</v>
      </c>
      <c r="F73" s="39">
        <v>70</v>
      </c>
      <c r="G73" s="392">
        <f t="shared" si="7"/>
        <v>0</v>
      </c>
      <c r="H73" s="39">
        <f t="shared" si="8"/>
        <v>0</v>
      </c>
      <c r="I73" s="40">
        <v>0</v>
      </c>
      <c r="J73" s="40">
        <v>0</v>
      </c>
      <c r="K73" s="40">
        <v>0</v>
      </c>
      <c r="L73" s="40">
        <v>0</v>
      </c>
      <c r="M73" s="40">
        <v>0</v>
      </c>
      <c r="N73" s="40">
        <v>0</v>
      </c>
      <c r="O73" s="42"/>
      <c r="P73" s="42"/>
      <c r="Q73" s="42"/>
      <c r="R73" s="42"/>
      <c r="S73" s="42"/>
      <c r="T73" s="42"/>
    </row>
    <row r="74" spans="1:21" ht="15" customHeight="1" x14ac:dyDescent="0.35">
      <c r="A74" s="12"/>
      <c r="B74" s="30" t="s">
        <v>213</v>
      </c>
      <c r="D74" s="287"/>
      <c r="E74" s="329">
        <v>36777.25</v>
      </c>
      <c r="F74" s="39">
        <v>41379.12999999999</v>
      </c>
      <c r="G74" s="392">
        <f t="shared" si="7"/>
        <v>74726.39</v>
      </c>
      <c r="H74" s="39">
        <f t="shared" si="8"/>
        <v>74726.39</v>
      </c>
      <c r="I74" s="40">
        <v>1542.73</v>
      </c>
      <c r="J74" s="42">
        <v>11407.88</v>
      </c>
      <c r="K74" s="42">
        <v>0</v>
      </c>
      <c r="L74" s="272">
        <v>630.71</v>
      </c>
      <c r="M74" s="42">
        <v>0</v>
      </c>
      <c r="N74" s="42">
        <v>25673.93</v>
      </c>
      <c r="O74" s="42">
        <v>1093.8699999999999</v>
      </c>
      <c r="P74" s="42">
        <v>72</v>
      </c>
      <c r="Q74" s="42">
        <v>3141.53</v>
      </c>
      <c r="R74" s="341">
        <v>2452.06</v>
      </c>
      <c r="S74" s="343">
        <v>2589.17</v>
      </c>
      <c r="T74" s="342">
        <v>26122.51</v>
      </c>
    </row>
    <row r="75" spans="1:21" ht="15" customHeight="1" x14ac:dyDescent="0.35">
      <c r="A75" s="12"/>
      <c r="B75" s="30" t="s">
        <v>139</v>
      </c>
      <c r="D75" s="287"/>
      <c r="E75" s="329">
        <v>3106544.58</v>
      </c>
      <c r="F75" s="39">
        <v>2745272.69</v>
      </c>
      <c r="G75" s="392">
        <f t="shared" si="7"/>
        <v>3523711.6799999997</v>
      </c>
      <c r="H75" s="39">
        <f t="shared" si="8"/>
        <v>3523711.6799999997</v>
      </c>
      <c r="I75" s="40">
        <v>285730.15999999997</v>
      </c>
      <c r="J75" s="42">
        <v>290737.24</v>
      </c>
      <c r="K75" s="42">
        <v>264919.21000000002</v>
      </c>
      <c r="L75" s="272">
        <v>304580.75</v>
      </c>
      <c r="M75" s="42">
        <v>290757.61</v>
      </c>
      <c r="N75" s="42">
        <f>SUM(N65:N73)</f>
        <v>263746.02</v>
      </c>
      <c r="O75" s="42">
        <f>SUM(O65:O72)-O74</f>
        <v>310553.33</v>
      </c>
      <c r="P75" s="42">
        <v>304376.09000000003</v>
      </c>
      <c r="Q75" s="42">
        <v>308627.44</v>
      </c>
      <c r="R75" s="341">
        <v>288960.62</v>
      </c>
      <c r="S75" s="343">
        <v>303061.86</v>
      </c>
      <c r="T75" s="342">
        <v>307661.34999999998</v>
      </c>
      <c r="U75" s="43"/>
    </row>
    <row r="76" spans="1:21" ht="31.5" customHeight="1" x14ac:dyDescent="0.35">
      <c r="A76" s="12"/>
      <c r="B76" s="31" t="s">
        <v>140</v>
      </c>
      <c r="D76" s="286"/>
      <c r="E76" s="329">
        <v>11078</v>
      </c>
      <c r="F76" s="39">
        <v>1902</v>
      </c>
      <c r="G76" s="392">
        <f t="shared" si="7"/>
        <v>0</v>
      </c>
      <c r="H76" s="39">
        <f>SUM(J76:U76)</f>
        <v>0</v>
      </c>
      <c r="I76" s="40">
        <v>0</v>
      </c>
      <c r="J76" s="40">
        <v>0</v>
      </c>
      <c r="K76" s="40">
        <v>0</v>
      </c>
      <c r="L76" s="40">
        <v>0</v>
      </c>
      <c r="M76" s="40">
        <v>0</v>
      </c>
      <c r="N76" s="40">
        <v>0</v>
      </c>
      <c r="O76" s="40">
        <v>0</v>
      </c>
      <c r="P76" s="40">
        <v>0</v>
      </c>
      <c r="Q76" s="40">
        <v>0</v>
      </c>
      <c r="R76" s="40">
        <v>0</v>
      </c>
      <c r="S76" s="40">
        <v>0</v>
      </c>
      <c r="T76" s="341"/>
    </row>
    <row r="77" spans="1:21" s="126" customFormat="1" ht="16" customHeight="1" x14ac:dyDescent="0.35">
      <c r="A77" s="125"/>
      <c r="B77" s="490" t="s">
        <v>23</v>
      </c>
      <c r="C77" s="491"/>
      <c r="D77" s="491"/>
      <c r="E77" s="491"/>
      <c r="F77" s="491"/>
      <c r="G77" s="491"/>
      <c r="H77" s="491"/>
      <c r="I77" s="491"/>
      <c r="J77" s="491"/>
      <c r="K77" s="491"/>
      <c r="L77" s="491"/>
      <c r="M77" s="491"/>
      <c r="N77" s="491"/>
      <c r="O77" s="491"/>
      <c r="P77" s="491"/>
      <c r="Q77" s="491"/>
      <c r="R77" s="491"/>
      <c r="S77" s="491"/>
      <c r="T77" s="492"/>
    </row>
    <row r="78" spans="1:21" s="126" customFormat="1" ht="16" customHeight="1" x14ac:dyDescent="0.35">
      <c r="A78" s="125"/>
      <c r="B78" s="493" t="s">
        <v>24</v>
      </c>
      <c r="C78" s="494"/>
      <c r="D78" s="494"/>
      <c r="E78" s="494"/>
      <c r="F78" s="494"/>
      <c r="G78" s="494"/>
      <c r="H78" s="494"/>
      <c r="I78" s="494"/>
      <c r="J78" s="494"/>
      <c r="K78" s="494"/>
      <c r="L78" s="494"/>
      <c r="M78" s="494"/>
      <c r="N78" s="494"/>
      <c r="O78" s="494"/>
      <c r="P78" s="494"/>
      <c r="Q78" s="494"/>
      <c r="R78" s="494"/>
      <c r="S78" s="494"/>
      <c r="T78" s="495"/>
    </row>
    <row r="79" spans="1:21" ht="15" customHeight="1" x14ac:dyDescent="0.35">
      <c r="A79" s="12"/>
      <c r="B79" s="32" t="s">
        <v>141</v>
      </c>
      <c r="C79" s="313"/>
      <c r="D79" s="280"/>
      <c r="E79" s="137">
        <v>411</v>
      </c>
      <c r="F79" s="296">
        <v>412</v>
      </c>
      <c r="G79" s="124">
        <f>SUM(I79:T79)</f>
        <v>548</v>
      </c>
      <c r="H79" s="395">
        <f>SUM(J79:U79)</f>
        <v>503</v>
      </c>
      <c r="I79" s="257">
        <v>45</v>
      </c>
      <c r="J79" s="258">
        <v>47</v>
      </c>
      <c r="K79" s="100">
        <v>57</v>
      </c>
      <c r="L79" s="46">
        <v>40</v>
      </c>
      <c r="M79" s="8">
        <v>36</v>
      </c>
      <c r="N79" s="8">
        <v>49</v>
      </c>
      <c r="O79" s="8">
        <v>51</v>
      </c>
      <c r="P79" s="8">
        <v>48</v>
      </c>
      <c r="Q79" s="8">
        <v>52</v>
      </c>
      <c r="R79" s="8">
        <v>40</v>
      </c>
      <c r="S79" s="8">
        <v>42</v>
      </c>
      <c r="T79" s="9">
        <v>41</v>
      </c>
    </row>
    <row r="80" spans="1:21" ht="15" customHeight="1" x14ac:dyDescent="0.35">
      <c r="A80" s="12"/>
      <c r="B80" s="30" t="s">
        <v>142</v>
      </c>
      <c r="C80" s="315"/>
      <c r="D80" s="282" t="s">
        <v>205</v>
      </c>
      <c r="E80" s="137">
        <v>5</v>
      </c>
      <c r="F80" s="297">
        <v>4.6666666670000003</v>
      </c>
      <c r="G80" s="124">
        <f>AVERAGE(I80:T80)</f>
        <v>6.833333333333333</v>
      </c>
      <c r="H80" s="395">
        <f>AVERAGE(J80:U80)</f>
        <v>6.6363636363636367</v>
      </c>
      <c r="I80" s="15">
        <v>9</v>
      </c>
      <c r="J80" s="8">
        <v>8</v>
      </c>
      <c r="K80" s="16">
        <v>7</v>
      </c>
      <c r="L80" s="236">
        <v>7</v>
      </c>
      <c r="M80" s="16">
        <v>4</v>
      </c>
      <c r="N80" s="16">
        <v>9</v>
      </c>
      <c r="O80" s="16">
        <v>7</v>
      </c>
      <c r="P80" s="16">
        <v>5</v>
      </c>
      <c r="Q80" s="16">
        <v>6</v>
      </c>
      <c r="R80" s="16">
        <v>10</v>
      </c>
      <c r="S80" s="16">
        <v>4</v>
      </c>
      <c r="T80" s="17">
        <v>6</v>
      </c>
    </row>
    <row r="81" spans="1:20" ht="15" customHeight="1" x14ac:dyDescent="0.35">
      <c r="A81" s="12"/>
      <c r="B81" s="30" t="s">
        <v>106</v>
      </c>
      <c r="C81" s="315"/>
      <c r="D81" s="282" t="s">
        <v>205</v>
      </c>
      <c r="E81" s="137">
        <v>71.25</v>
      </c>
      <c r="F81" s="298">
        <v>61</v>
      </c>
      <c r="G81" s="124">
        <f>AVERAGE(I81:T81)</f>
        <v>91</v>
      </c>
      <c r="H81" s="395">
        <f>AVERAGE(J81:U81)</f>
        <v>89.818181818181813</v>
      </c>
      <c r="I81" s="29">
        <v>104</v>
      </c>
      <c r="J81" s="29">
        <v>89</v>
      </c>
      <c r="K81" s="29">
        <v>100</v>
      </c>
      <c r="L81" s="273">
        <v>86</v>
      </c>
      <c r="M81" s="29">
        <v>85</v>
      </c>
      <c r="N81" s="29">
        <v>106</v>
      </c>
      <c r="O81" s="29">
        <v>114</v>
      </c>
      <c r="P81" s="29">
        <v>100</v>
      </c>
      <c r="Q81" s="29">
        <v>78</v>
      </c>
      <c r="R81" s="29">
        <v>80</v>
      </c>
      <c r="S81" s="273">
        <v>75</v>
      </c>
      <c r="T81" s="35">
        <v>75</v>
      </c>
    </row>
    <row r="82" spans="1:20" ht="15" customHeight="1" x14ac:dyDescent="0.35">
      <c r="A82" s="12"/>
      <c r="B82" s="193" t="s">
        <v>143</v>
      </c>
      <c r="C82" s="311"/>
      <c r="E82" s="158">
        <v>0</v>
      </c>
      <c r="F82" s="158">
        <v>0</v>
      </c>
      <c r="G82" s="158">
        <v>0</v>
      </c>
      <c r="H82" s="536">
        <v>0</v>
      </c>
      <c r="I82" s="29">
        <v>47</v>
      </c>
      <c r="J82" s="138">
        <v>52</v>
      </c>
      <c r="K82" s="29">
        <v>62</v>
      </c>
      <c r="L82" s="273">
        <v>44</v>
      </c>
      <c r="M82" s="29">
        <v>38</v>
      </c>
      <c r="N82" s="138">
        <v>54</v>
      </c>
      <c r="O82" s="29">
        <v>54</v>
      </c>
      <c r="P82" s="29">
        <v>54</v>
      </c>
      <c r="Q82" s="29">
        <v>69</v>
      </c>
      <c r="R82" s="29">
        <v>47</v>
      </c>
      <c r="S82" s="29">
        <v>46</v>
      </c>
      <c r="T82" s="28">
        <v>46</v>
      </c>
    </row>
    <row r="83" spans="1:20" ht="15" customHeight="1" x14ac:dyDescent="0.35">
      <c r="A83" s="12"/>
      <c r="B83" s="192" t="s">
        <v>144</v>
      </c>
      <c r="C83" s="311"/>
      <c r="E83" s="161">
        <v>0</v>
      </c>
      <c r="F83" s="161">
        <v>0</v>
      </c>
      <c r="G83" s="161">
        <v>0</v>
      </c>
      <c r="H83" s="537">
        <v>0</v>
      </c>
      <c r="I83" s="29">
        <v>40</v>
      </c>
      <c r="J83" s="29">
        <v>49</v>
      </c>
      <c r="K83" s="29">
        <v>49</v>
      </c>
      <c r="L83" s="273">
        <v>56</v>
      </c>
      <c r="M83" s="29">
        <v>36</v>
      </c>
      <c r="N83" s="29">
        <v>36</v>
      </c>
      <c r="O83" s="29">
        <v>43</v>
      </c>
      <c r="P83" s="29">
        <v>45</v>
      </c>
      <c r="Q83" s="29">
        <v>61</v>
      </c>
      <c r="R83" s="29">
        <v>34</v>
      </c>
      <c r="S83" s="29">
        <v>40</v>
      </c>
      <c r="T83" s="45">
        <v>38</v>
      </c>
    </row>
    <row r="84" spans="1:20" s="126" customFormat="1" ht="16" customHeight="1" x14ac:dyDescent="0.35">
      <c r="A84" s="125"/>
      <c r="B84" s="496" t="s">
        <v>25</v>
      </c>
      <c r="C84" s="441"/>
      <c r="D84" s="441"/>
      <c r="E84" s="441"/>
      <c r="F84" s="441"/>
      <c r="G84" s="441"/>
      <c r="H84" s="441"/>
      <c r="I84" s="441"/>
      <c r="J84" s="441"/>
      <c r="K84" s="441"/>
      <c r="L84" s="441"/>
      <c r="M84" s="441"/>
      <c r="N84" s="441"/>
      <c r="O84" s="441"/>
      <c r="P84" s="441"/>
      <c r="Q84" s="441"/>
      <c r="R84" s="441"/>
      <c r="S84" s="441"/>
      <c r="T84" s="497"/>
    </row>
    <row r="85" spans="1:20" ht="15" customHeight="1" x14ac:dyDescent="0.35">
      <c r="A85" s="12"/>
      <c r="B85" s="32" t="s">
        <v>193</v>
      </c>
      <c r="C85" s="313"/>
      <c r="D85" s="280" t="s">
        <v>205</v>
      </c>
      <c r="E85" s="137">
        <v>117</v>
      </c>
      <c r="F85" s="331">
        <v>121</v>
      </c>
      <c r="G85" s="393">
        <f>AVERAGE(I85:T85)</f>
        <v>128.08333333333334</v>
      </c>
      <c r="H85" s="299">
        <f>AVERAGE(I85:T85)</f>
        <v>128.08333333333334</v>
      </c>
      <c r="I85" s="257">
        <v>123</v>
      </c>
      <c r="J85" s="263">
        <v>128</v>
      </c>
      <c r="K85" s="265">
        <v>129</v>
      </c>
      <c r="L85" s="46">
        <v>131</v>
      </c>
      <c r="M85" s="46">
        <v>128</v>
      </c>
      <c r="N85" s="46">
        <v>129</v>
      </c>
      <c r="O85" s="46">
        <v>129</v>
      </c>
      <c r="P85" s="46">
        <v>131</v>
      </c>
      <c r="Q85" s="46">
        <v>126</v>
      </c>
      <c r="R85" s="46">
        <v>126</v>
      </c>
      <c r="S85" s="46">
        <v>128</v>
      </c>
      <c r="T85" s="23">
        <v>129</v>
      </c>
    </row>
    <row r="86" spans="1:20" ht="15" customHeight="1" x14ac:dyDescent="0.35">
      <c r="A86" s="12"/>
      <c r="B86" s="193" t="s">
        <v>107</v>
      </c>
      <c r="C86" s="311"/>
      <c r="E86" s="160"/>
      <c r="F86" s="160"/>
      <c r="G86" s="160"/>
      <c r="H86" s="160"/>
      <c r="I86" s="7">
        <v>2</v>
      </c>
      <c r="J86" s="27">
        <v>5</v>
      </c>
      <c r="K86" s="2">
        <v>3</v>
      </c>
      <c r="L86" s="2">
        <v>3</v>
      </c>
      <c r="M86" s="2">
        <v>0</v>
      </c>
      <c r="N86" s="2">
        <v>2</v>
      </c>
      <c r="O86" s="2">
        <v>0</v>
      </c>
      <c r="P86" s="2">
        <v>2</v>
      </c>
      <c r="Q86" s="2">
        <v>2</v>
      </c>
      <c r="R86" s="2">
        <v>0</v>
      </c>
      <c r="S86" s="2">
        <v>3</v>
      </c>
      <c r="T86" s="138">
        <v>2</v>
      </c>
    </row>
    <row r="87" spans="1:20" ht="15" customHeight="1" x14ac:dyDescent="0.35">
      <c r="A87" s="12"/>
      <c r="B87" s="192" t="s">
        <v>108</v>
      </c>
      <c r="C87" s="311"/>
      <c r="D87" s="286"/>
      <c r="E87" s="160"/>
      <c r="F87" s="160"/>
      <c r="G87" s="160"/>
      <c r="H87" s="160"/>
      <c r="I87" s="7">
        <v>2</v>
      </c>
      <c r="J87" s="29">
        <v>0</v>
      </c>
      <c r="K87" s="29">
        <v>2</v>
      </c>
      <c r="L87" s="29">
        <v>1</v>
      </c>
      <c r="M87" s="29">
        <v>3</v>
      </c>
      <c r="N87" s="29">
        <v>1</v>
      </c>
      <c r="O87" s="29">
        <v>0</v>
      </c>
      <c r="P87" s="29">
        <v>1</v>
      </c>
      <c r="Q87" s="29">
        <v>7</v>
      </c>
      <c r="R87" s="29">
        <v>0</v>
      </c>
      <c r="S87" s="29">
        <v>1</v>
      </c>
      <c r="T87" s="23">
        <v>1</v>
      </c>
    </row>
    <row r="88" spans="1:20" s="126" customFormat="1" ht="16" customHeight="1" x14ac:dyDescent="0.35">
      <c r="A88" s="125"/>
      <c r="B88" s="496" t="s">
        <v>26</v>
      </c>
      <c r="C88" s="441"/>
      <c r="D88" s="441"/>
      <c r="E88" s="441"/>
      <c r="F88" s="441"/>
      <c r="G88" s="441"/>
      <c r="H88" s="441"/>
      <c r="I88" s="441"/>
      <c r="J88" s="441"/>
      <c r="K88" s="441"/>
      <c r="L88" s="441"/>
      <c r="M88" s="441"/>
      <c r="N88" s="441"/>
      <c r="O88" s="441"/>
      <c r="P88" s="441"/>
      <c r="Q88" s="441"/>
      <c r="R88" s="441"/>
      <c r="S88" s="441"/>
      <c r="T88" s="497"/>
    </row>
    <row r="89" spans="1:20" ht="15" customHeight="1" x14ac:dyDescent="0.35">
      <c r="A89" s="12"/>
      <c r="B89" s="32" t="s">
        <v>145</v>
      </c>
      <c r="D89" s="284" t="s">
        <v>205</v>
      </c>
      <c r="E89" s="332">
        <v>122</v>
      </c>
      <c r="F89" s="330">
        <v>117</v>
      </c>
      <c r="G89" s="393">
        <f>AVERAGE(I89:T89)</f>
        <v>172.72727272727272</v>
      </c>
      <c r="H89" s="299">
        <f>AVERAGE(I89:U89)</f>
        <v>172.72727272727272</v>
      </c>
      <c r="I89" s="7">
        <v>148</v>
      </c>
      <c r="J89" s="264"/>
      <c r="K89" s="46">
        <v>158</v>
      </c>
      <c r="L89" s="46">
        <v>162</v>
      </c>
      <c r="M89" s="46">
        <v>163</v>
      </c>
      <c r="N89" s="46">
        <v>163</v>
      </c>
      <c r="O89" s="46">
        <v>174</v>
      </c>
      <c r="P89" s="46">
        <v>174</v>
      </c>
      <c r="Q89" s="46">
        <v>185</v>
      </c>
      <c r="R89" s="46">
        <v>182</v>
      </c>
      <c r="S89" s="46">
        <v>192</v>
      </c>
      <c r="T89" s="23">
        <v>199</v>
      </c>
    </row>
    <row r="90" spans="1:20" ht="15" hidden="1" customHeight="1" x14ac:dyDescent="0.35">
      <c r="A90" s="12"/>
      <c r="B90" s="193" t="s">
        <v>107</v>
      </c>
      <c r="C90" s="311"/>
      <c r="E90" s="158">
        <v>0</v>
      </c>
      <c r="F90" s="159">
        <v>0</v>
      </c>
      <c r="G90" s="299" t="e">
        <f>AVERAGE(I90:T90)</f>
        <v>#DIV/0!</v>
      </c>
      <c r="H90" s="299" t="e">
        <f>AVERAGE(I90:U90)</f>
        <v>#DIV/0!</v>
      </c>
      <c r="I90" s="7"/>
      <c r="J90" s="251"/>
      <c r="K90" s="46"/>
      <c r="L90" s="46"/>
      <c r="M90" s="46"/>
      <c r="N90" s="46"/>
      <c r="O90" s="46"/>
      <c r="P90" s="46"/>
      <c r="Q90" s="46"/>
      <c r="R90" s="46"/>
      <c r="S90" s="46"/>
      <c r="T90" s="23"/>
    </row>
    <row r="91" spans="1:20" ht="15" hidden="1" customHeight="1" x14ac:dyDescent="0.35">
      <c r="A91" s="12"/>
      <c r="B91" s="193" t="s">
        <v>108</v>
      </c>
      <c r="C91" s="311"/>
      <c r="E91" s="156">
        <v>0</v>
      </c>
      <c r="F91" s="157">
        <v>0</v>
      </c>
      <c r="G91" s="299" t="e">
        <f>AVERAGE(I91:T91)</f>
        <v>#DIV/0!</v>
      </c>
      <c r="H91" s="299" t="e">
        <f>AVERAGE(I91:U91)</f>
        <v>#DIV/0!</v>
      </c>
      <c r="I91" s="7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23"/>
    </row>
    <row r="92" spans="1:20" ht="15" customHeight="1" x14ac:dyDescent="0.35">
      <c r="A92" s="12"/>
      <c r="B92" s="30" t="s">
        <v>109</v>
      </c>
      <c r="E92" s="161">
        <v>0</v>
      </c>
      <c r="F92" s="163">
        <v>106142.25</v>
      </c>
      <c r="G92" s="163">
        <v>106142.25</v>
      </c>
      <c r="H92" s="299"/>
      <c r="I92" s="251">
        <v>7075</v>
      </c>
      <c r="J92" s="353">
        <v>7324</v>
      </c>
      <c r="K92" s="354">
        <v>7330.75</v>
      </c>
      <c r="L92" s="354"/>
      <c r="M92" s="355">
        <v>7383.5</v>
      </c>
      <c r="N92" s="251">
        <v>7453.5</v>
      </c>
      <c r="O92" s="251"/>
      <c r="P92" s="251"/>
      <c r="Q92" s="379">
        <v>8579.75</v>
      </c>
      <c r="R92" s="349">
        <v>8319.75</v>
      </c>
      <c r="S92" s="251"/>
      <c r="T92" s="380"/>
    </row>
    <row r="93" spans="1:20" ht="15" customHeight="1" x14ac:dyDescent="0.35">
      <c r="A93" s="12"/>
      <c r="B93" s="30" t="s">
        <v>146</v>
      </c>
      <c r="D93" s="284" t="s">
        <v>205</v>
      </c>
      <c r="E93" s="332">
        <v>188</v>
      </c>
      <c r="F93" s="299">
        <v>190</v>
      </c>
      <c r="G93" s="393">
        <f>AVERAGE(I93:T93)</f>
        <v>306.90909090909093</v>
      </c>
      <c r="H93" s="299">
        <f>AVERAGE(I93:U93)</f>
        <v>306.90909090909093</v>
      </c>
      <c r="I93" s="257">
        <v>266</v>
      </c>
      <c r="J93" s="266"/>
      <c r="K93" s="265">
        <v>266</v>
      </c>
      <c r="L93" s="46">
        <v>316</v>
      </c>
      <c r="M93" s="46">
        <v>316</v>
      </c>
      <c r="N93" s="46">
        <v>316</v>
      </c>
      <c r="O93" s="46">
        <v>316</v>
      </c>
      <c r="P93" s="46">
        <v>316</v>
      </c>
      <c r="Q93" s="46">
        <v>316</v>
      </c>
      <c r="R93" s="46">
        <v>316</v>
      </c>
      <c r="S93" s="46">
        <v>316</v>
      </c>
      <c r="T93" s="46">
        <v>316</v>
      </c>
    </row>
    <row r="94" spans="1:20" ht="15" customHeight="1" x14ac:dyDescent="0.35">
      <c r="A94" s="12"/>
      <c r="B94" s="193" t="s">
        <v>107</v>
      </c>
      <c r="C94" s="311"/>
      <c r="E94" s="158">
        <v>0</v>
      </c>
      <c r="F94" s="159">
        <v>19</v>
      </c>
      <c r="G94" s="160">
        <f>AVERAGE(I94:T94)</f>
        <v>6.9090909090909092</v>
      </c>
      <c r="H94" s="530">
        <f>AVERAGE(J94:U94)</f>
        <v>6.9</v>
      </c>
      <c r="I94" s="7">
        <v>7</v>
      </c>
      <c r="J94" s="46"/>
      <c r="K94" s="46">
        <v>10</v>
      </c>
      <c r="L94" s="46">
        <v>4</v>
      </c>
      <c r="M94" s="46">
        <v>1</v>
      </c>
      <c r="N94" s="46">
        <v>4</v>
      </c>
      <c r="O94" s="46">
        <v>11</v>
      </c>
      <c r="P94" s="46">
        <v>4</v>
      </c>
      <c r="Q94" s="46">
        <v>11</v>
      </c>
      <c r="R94" s="46">
        <v>7</v>
      </c>
      <c r="S94" s="46">
        <v>10</v>
      </c>
      <c r="T94" s="23">
        <v>7</v>
      </c>
    </row>
    <row r="95" spans="1:20" ht="15" customHeight="1" x14ac:dyDescent="0.35">
      <c r="A95" s="12"/>
      <c r="B95" s="192" t="s">
        <v>108</v>
      </c>
      <c r="C95" s="311"/>
      <c r="E95" s="161">
        <v>0</v>
      </c>
      <c r="F95" s="163">
        <v>11</v>
      </c>
      <c r="G95" s="162">
        <f>AVERAGE(I95:T95)</f>
        <v>4.7272727272727275</v>
      </c>
      <c r="H95" s="531">
        <f>AVERAGE(J95:U95)</f>
        <v>4.9000000000000004</v>
      </c>
      <c r="I95" s="7">
        <v>3</v>
      </c>
      <c r="J95" s="46"/>
      <c r="K95" s="46">
        <v>3</v>
      </c>
      <c r="L95" s="46">
        <v>6</v>
      </c>
      <c r="M95" s="46">
        <v>4</v>
      </c>
      <c r="N95" s="46">
        <v>4</v>
      </c>
      <c r="O95" s="46">
        <v>4</v>
      </c>
      <c r="P95" s="46">
        <v>4</v>
      </c>
      <c r="Q95" s="46">
        <v>1</v>
      </c>
      <c r="R95" s="46">
        <v>10</v>
      </c>
      <c r="S95" s="46">
        <v>4</v>
      </c>
      <c r="T95" s="23">
        <v>9</v>
      </c>
    </row>
    <row r="96" spans="1:20" s="181" customFormat="1" ht="15" hidden="1" customHeight="1" x14ac:dyDescent="0.35">
      <c r="A96" s="177"/>
      <c r="B96" s="18" t="s">
        <v>19</v>
      </c>
      <c r="D96" s="284"/>
      <c r="E96" s="221"/>
      <c r="F96" s="222"/>
      <c r="G96" s="223"/>
      <c r="H96" s="223"/>
      <c r="I96" s="224">
        <v>1</v>
      </c>
      <c r="J96" s="225">
        <v>0</v>
      </c>
      <c r="K96" s="226"/>
      <c r="L96" s="225"/>
      <c r="M96" s="225"/>
      <c r="N96" s="361"/>
      <c r="O96" s="225"/>
      <c r="P96" s="225"/>
      <c r="Q96" s="225"/>
      <c r="R96" s="225"/>
      <c r="S96" s="225"/>
      <c r="T96" s="227"/>
    </row>
    <row r="97" spans="1:20" s="181" customFormat="1" ht="15" hidden="1" customHeight="1" x14ac:dyDescent="0.35">
      <c r="A97" s="177"/>
      <c r="B97" s="10" t="s">
        <v>20</v>
      </c>
      <c r="D97" s="284"/>
      <c r="E97" s="221"/>
      <c r="F97" s="222"/>
      <c r="G97" s="223"/>
      <c r="H97" s="223"/>
      <c r="I97" s="228">
        <v>-2</v>
      </c>
      <c r="J97" s="229">
        <v>-1</v>
      </c>
      <c r="K97" s="230"/>
      <c r="L97" s="229"/>
      <c r="M97" s="229"/>
      <c r="N97" s="362"/>
      <c r="O97" s="229"/>
      <c r="P97" s="229"/>
      <c r="Q97" s="229"/>
      <c r="R97" s="229"/>
      <c r="S97" s="229"/>
      <c r="T97" s="231"/>
    </row>
    <row r="98" spans="1:20" s="126" customFormat="1" ht="16" customHeight="1" x14ac:dyDescent="0.35">
      <c r="A98" s="125"/>
      <c r="B98" s="508" t="s">
        <v>204</v>
      </c>
      <c r="C98" s="509"/>
      <c r="D98" s="509"/>
      <c r="E98" s="509"/>
      <c r="F98" s="509"/>
      <c r="G98" s="509"/>
      <c r="H98" s="509"/>
      <c r="I98" s="509"/>
      <c r="J98" s="510"/>
      <c r="K98" s="509"/>
      <c r="L98" s="509"/>
      <c r="M98" s="509"/>
      <c r="N98" s="509"/>
      <c r="O98" s="509"/>
      <c r="P98" s="509"/>
      <c r="Q98" s="509"/>
      <c r="R98" s="509"/>
      <c r="S98" s="509"/>
      <c r="T98" s="511"/>
    </row>
    <row r="99" spans="1:20" ht="32.15" customHeight="1" x14ac:dyDescent="0.35">
      <c r="A99" s="12"/>
      <c r="B99" s="47" t="s">
        <v>147</v>
      </c>
      <c r="C99" s="316"/>
      <c r="D99" s="288"/>
      <c r="E99" s="139">
        <v>1892</v>
      </c>
      <c r="F99" s="25">
        <v>2331</v>
      </c>
      <c r="G99" s="394">
        <f>SUM(I99:T99)</f>
        <v>2580</v>
      </c>
      <c r="H99" s="381">
        <f>SUM(I99:U99)</f>
        <v>2580</v>
      </c>
      <c r="I99" s="251">
        <v>220</v>
      </c>
      <c r="J99" s="349">
        <v>225</v>
      </c>
      <c r="K99" s="100">
        <v>224</v>
      </c>
      <c r="L99" s="46">
        <v>226</v>
      </c>
      <c r="M99" s="349">
        <v>224</v>
      </c>
      <c r="N99" s="251">
        <v>222</v>
      </c>
      <c r="O99" s="8">
        <v>218</v>
      </c>
      <c r="P99" s="46">
        <v>212</v>
      </c>
      <c r="Q99" s="349">
        <v>204</v>
      </c>
      <c r="R99" s="349">
        <v>202</v>
      </c>
      <c r="S99" s="251">
        <v>199</v>
      </c>
      <c r="T99" s="380">
        <v>204</v>
      </c>
    </row>
    <row r="100" spans="1:20" ht="15" customHeight="1" x14ac:dyDescent="0.35">
      <c r="A100" s="12"/>
      <c r="B100" s="18" t="s">
        <v>148</v>
      </c>
      <c r="C100" s="307"/>
      <c r="D100" s="281"/>
      <c r="E100" s="132">
        <v>2033</v>
      </c>
      <c r="F100" s="26">
        <v>2125</v>
      </c>
      <c r="G100" s="394">
        <f>SUM(I100:T100)</f>
        <v>2206</v>
      </c>
      <c r="H100" s="381">
        <f>SUM(I100:U100)</f>
        <v>2206</v>
      </c>
      <c r="I100" s="251">
        <v>188</v>
      </c>
      <c r="J100" s="349">
        <v>188</v>
      </c>
      <c r="K100" s="349">
        <v>184</v>
      </c>
      <c r="L100" s="349">
        <v>193</v>
      </c>
      <c r="M100" s="349">
        <v>187</v>
      </c>
      <c r="N100" s="251">
        <v>188</v>
      </c>
      <c r="O100" s="236">
        <v>186</v>
      </c>
      <c r="P100" s="236">
        <v>184</v>
      </c>
      <c r="Q100" s="349">
        <v>183</v>
      </c>
      <c r="R100" s="349">
        <v>173</v>
      </c>
      <c r="S100" s="251">
        <v>177</v>
      </c>
      <c r="T100" s="380">
        <v>175</v>
      </c>
    </row>
    <row r="101" spans="1:20" ht="15" customHeight="1" x14ac:dyDescent="0.4">
      <c r="A101" s="12"/>
      <c r="B101" s="18" t="s">
        <v>149</v>
      </c>
      <c r="C101" s="181"/>
      <c r="E101" s="158">
        <v>0</v>
      </c>
      <c r="F101" s="159">
        <v>2487</v>
      </c>
      <c r="G101" s="164">
        <f>SUM(I101:T101)</f>
        <v>5537</v>
      </c>
      <c r="H101" s="534">
        <f>SUM(J101:U101)</f>
        <v>5140</v>
      </c>
      <c r="I101" s="382">
        <v>397</v>
      </c>
      <c r="J101" s="251">
        <v>397</v>
      </c>
      <c r="K101" s="349">
        <v>405</v>
      </c>
      <c r="L101" s="16">
        <v>424</v>
      </c>
      <c r="M101" s="236">
        <v>446</v>
      </c>
      <c r="N101" s="251">
        <v>465</v>
      </c>
      <c r="O101" s="16">
        <v>478</v>
      </c>
      <c r="P101" s="236">
        <v>532</v>
      </c>
      <c r="Q101" s="349">
        <v>510</v>
      </c>
      <c r="R101" s="349">
        <v>514</v>
      </c>
      <c r="S101" s="251">
        <v>489</v>
      </c>
      <c r="T101" s="380">
        <v>480</v>
      </c>
    </row>
    <row r="102" spans="1:20" ht="15" hidden="1" customHeight="1" x14ac:dyDescent="0.35">
      <c r="A102" s="12"/>
      <c r="B102" s="232" t="s">
        <v>19</v>
      </c>
      <c r="C102" s="317"/>
      <c r="E102" s="233"/>
      <c r="F102" s="234"/>
      <c r="G102" s="235"/>
      <c r="H102" s="235"/>
      <c r="I102" s="15">
        <v>13</v>
      </c>
      <c r="J102" s="8"/>
      <c r="K102" s="16"/>
      <c r="L102" s="16"/>
      <c r="M102" s="16"/>
      <c r="N102" s="358"/>
      <c r="O102" s="16"/>
      <c r="P102" s="16"/>
      <c r="Q102" s="16"/>
      <c r="R102" s="16"/>
      <c r="S102" s="236"/>
      <c r="T102" s="28"/>
    </row>
    <row r="103" spans="1:20" ht="15" hidden="1" customHeight="1" x14ac:dyDescent="0.35">
      <c r="A103" s="12"/>
      <c r="B103" s="237" t="s">
        <v>20</v>
      </c>
      <c r="C103" s="317"/>
      <c r="E103" s="238"/>
      <c r="F103" s="239"/>
      <c r="G103" s="240"/>
      <c r="H103" s="240"/>
      <c r="I103" s="20">
        <v>-208</v>
      </c>
      <c r="J103" s="21"/>
      <c r="K103" s="21"/>
      <c r="L103" s="21"/>
      <c r="M103" s="21"/>
      <c r="N103" s="41"/>
      <c r="O103" s="21"/>
      <c r="P103" s="21"/>
      <c r="Q103" s="21"/>
      <c r="R103" s="21"/>
      <c r="S103" s="241"/>
      <c r="T103" s="45"/>
    </row>
    <row r="104" spans="1:20" ht="15" hidden="1" customHeight="1" x14ac:dyDescent="0.35">
      <c r="A104" s="12"/>
      <c r="B104" s="512" t="s">
        <v>42</v>
      </c>
      <c r="C104" s="513"/>
      <c r="D104" s="513"/>
      <c r="E104" s="513"/>
      <c r="F104" s="513"/>
      <c r="G104" s="513"/>
      <c r="H104" s="513"/>
      <c r="I104" s="513"/>
      <c r="J104" s="513"/>
      <c r="K104" s="513"/>
      <c r="L104" s="513"/>
      <c r="M104" s="513"/>
      <c r="N104" s="513"/>
      <c r="O104" s="513"/>
      <c r="P104" s="513"/>
      <c r="Q104" s="513"/>
      <c r="R104" s="513"/>
      <c r="S104" s="513"/>
      <c r="T104" s="514"/>
    </row>
    <row r="105" spans="1:20" ht="15" hidden="1" customHeight="1" x14ac:dyDescent="0.35">
      <c r="A105" s="12"/>
      <c r="B105" s="242" t="s">
        <v>43</v>
      </c>
      <c r="C105" s="181"/>
      <c r="E105" s="233"/>
      <c r="F105" s="234"/>
      <c r="G105" s="243">
        <v>17</v>
      </c>
      <c r="H105" s="243">
        <v>17</v>
      </c>
      <c r="I105" s="100">
        <v>17</v>
      </c>
      <c r="J105" s="8"/>
      <c r="K105" s="8"/>
      <c r="L105" s="8"/>
      <c r="M105" s="8"/>
      <c r="N105" s="268"/>
      <c r="O105" s="8"/>
      <c r="P105" s="8"/>
      <c r="Q105" s="8"/>
      <c r="R105" s="8"/>
      <c r="S105" s="46"/>
      <c r="T105" s="28"/>
    </row>
    <row r="106" spans="1:20" ht="15" hidden="1" customHeight="1" x14ac:dyDescent="0.35">
      <c r="A106" s="12"/>
      <c r="B106" s="244" t="s">
        <v>44</v>
      </c>
      <c r="C106" s="318"/>
      <c r="D106" s="289"/>
      <c r="E106" s="238"/>
      <c r="F106" s="239"/>
      <c r="G106" s="245">
        <v>23</v>
      </c>
      <c r="H106" s="245">
        <v>23</v>
      </c>
      <c r="I106" s="246">
        <v>23</v>
      </c>
      <c r="J106" s="247"/>
      <c r="K106" s="247"/>
      <c r="L106" s="247"/>
      <c r="M106" s="247"/>
      <c r="N106" s="363"/>
      <c r="O106" s="247"/>
      <c r="P106" s="247"/>
      <c r="Q106" s="247"/>
      <c r="R106" s="247"/>
      <c r="S106" s="248"/>
      <c r="T106" s="249"/>
    </row>
    <row r="107" spans="1:20" s="126" customFormat="1" ht="12" customHeight="1" x14ac:dyDescent="0.35">
      <c r="A107" s="125"/>
      <c r="B107" s="496" t="s">
        <v>27</v>
      </c>
      <c r="C107" s="441"/>
      <c r="D107" s="441"/>
      <c r="E107" s="441"/>
      <c r="F107" s="441"/>
      <c r="G107" s="441"/>
      <c r="H107" s="441"/>
      <c r="I107" s="441"/>
      <c r="J107" s="441"/>
      <c r="K107" s="441"/>
      <c r="L107" s="441"/>
      <c r="M107" s="441"/>
      <c r="N107" s="441"/>
      <c r="O107" s="441"/>
      <c r="P107" s="441"/>
      <c r="Q107" s="441"/>
      <c r="R107" s="441"/>
      <c r="S107" s="441"/>
      <c r="T107" s="497"/>
    </row>
    <row r="108" spans="1:20" s="181" customFormat="1" ht="24" customHeight="1" x14ac:dyDescent="0.35">
      <c r="A108" s="177"/>
      <c r="B108" s="5" t="s">
        <v>150</v>
      </c>
      <c r="C108" s="306"/>
      <c r="D108" s="280"/>
      <c r="E108" s="142">
        <v>2025</v>
      </c>
      <c r="F108" s="143">
        <v>2175</v>
      </c>
      <c r="G108" s="391">
        <f t="shared" ref="G108:G116" si="9">SUM(I108:T108)</f>
        <v>1526</v>
      </c>
      <c r="H108" s="6">
        <f t="shared" ref="H108:H116" si="10">SUM(J108:U108)</f>
        <v>1299</v>
      </c>
      <c r="I108" s="178">
        <v>227</v>
      </c>
      <c r="J108" s="179">
        <v>325</v>
      </c>
      <c r="K108" s="179">
        <v>119</v>
      </c>
      <c r="L108" s="179">
        <v>46</v>
      </c>
      <c r="M108" s="179">
        <v>62</v>
      </c>
      <c r="N108" s="265">
        <v>26</v>
      </c>
      <c r="O108" s="179">
        <v>76</v>
      </c>
      <c r="P108" s="179">
        <v>137</v>
      </c>
      <c r="Q108" s="179">
        <v>141</v>
      </c>
      <c r="R108" s="179">
        <v>136</v>
      </c>
      <c r="S108" s="179">
        <v>115</v>
      </c>
      <c r="T108" s="180">
        <v>116</v>
      </c>
    </row>
    <row r="109" spans="1:20" s="181" customFormat="1" ht="24" customHeight="1" x14ac:dyDescent="0.35">
      <c r="A109" s="177"/>
      <c r="B109" s="193" t="s">
        <v>151</v>
      </c>
      <c r="C109" s="314"/>
      <c r="D109" s="282"/>
      <c r="E109" s="142">
        <v>1490</v>
      </c>
      <c r="F109" s="143">
        <v>1583</v>
      </c>
      <c r="G109" s="396">
        <f t="shared" si="9"/>
        <v>974</v>
      </c>
      <c r="H109" s="19">
        <f t="shared" si="10"/>
        <v>799</v>
      </c>
      <c r="I109" s="178">
        <v>175</v>
      </c>
      <c r="J109" s="179">
        <v>270</v>
      </c>
      <c r="K109" s="179">
        <v>71</v>
      </c>
      <c r="L109" s="179">
        <v>16</v>
      </c>
      <c r="M109" s="179">
        <v>34</v>
      </c>
      <c r="N109" s="265">
        <v>8</v>
      </c>
      <c r="O109" s="179">
        <v>26</v>
      </c>
      <c r="P109" s="179">
        <v>72</v>
      </c>
      <c r="Q109" s="179">
        <v>101</v>
      </c>
      <c r="R109" s="179">
        <v>61</v>
      </c>
      <c r="S109" s="179">
        <v>64</v>
      </c>
      <c r="T109" s="180">
        <v>76</v>
      </c>
    </row>
    <row r="110" spans="1:20" s="181" customFormat="1" ht="24" customHeight="1" x14ac:dyDescent="0.35">
      <c r="A110" s="177"/>
      <c r="B110" s="193" t="s">
        <v>152</v>
      </c>
      <c r="C110" s="314"/>
      <c r="D110" s="282"/>
      <c r="E110" s="142">
        <v>24</v>
      </c>
      <c r="F110" s="143">
        <v>26</v>
      </c>
      <c r="G110" s="396">
        <f t="shared" si="9"/>
        <v>10</v>
      </c>
      <c r="H110" s="19">
        <f t="shared" si="10"/>
        <v>8</v>
      </c>
      <c r="I110" s="178">
        <v>2</v>
      </c>
      <c r="J110" s="179">
        <v>2</v>
      </c>
      <c r="K110" s="179">
        <v>2</v>
      </c>
      <c r="L110" s="179">
        <v>1</v>
      </c>
      <c r="M110" s="179">
        <v>1</v>
      </c>
      <c r="N110" s="265">
        <v>0</v>
      </c>
      <c r="O110" s="179">
        <v>1</v>
      </c>
      <c r="P110" s="179">
        <v>1</v>
      </c>
      <c r="Q110" s="179">
        <v>0</v>
      </c>
      <c r="R110" s="179">
        <v>0</v>
      </c>
      <c r="S110" s="179">
        <v>0</v>
      </c>
      <c r="T110" s="180">
        <v>0</v>
      </c>
    </row>
    <row r="111" spans="1:20" s="181" customFormat="1" ht="24" customHeight="1" x14ac:dyDescent="0.35">
      <c r="A111" s="177"/>
      <c r="B111" s="193" t="s">
        <v>153</v>
      </c>
      <c r="C111" s="314"/>
      <c r="D111" s="282"/>
      <c r="E111" s="142">
        <v>5</v>
      </c>
      <c r="F111" s="143">
        <v>7</v>
      </c>
      <c r="G111" s="396">
        <f t="shared" si="9"/>
        <v>2</v>
      </c>
      <c r="H111" s="19">
        <f t="shared" si="10"/>
        <v>2</v>
      </c>
      <c r="I111" s="337">
        <v>0</v>
      </c>
      <c r="J111" s="179">
        <v>0</v>
      </c>
      <c r="K111" s="179">
        <v>0</v>
      </c>
      <c r="L111" s="179">
        <v>1</v>
      </c>
      <c r="M111" s="179">
        <v>0</v>
      </c>
      <c r="N111" s="265">
        <v>0</v>
      </c>
      <c r="O111" s="179">
        <v>0</v>
      </c>
      <c r="P111" s="179">
        <v>1</v>
      </c>
      <c r="Q111" s="179">
        <v>0</v>
      </c>
      <c r="R111" s="179">
        <v>0</v>
      </c>
      <c r="S111" s="179">
        <v>0</v>
      </c>
      <c r="T111" s="180">
        <v>0</v>
      </c>
    </row>
    <row r="112" spans="1:20" s="181" customFormat="1" ht="24" customHeight="1" x14ac:dyDescent="0.35">
      <c r="A112" s="177"/>
      <c r="B112" s="193" t="s">
        <v>154</v>
      </c>
      <c r="C112" s="314"/>
      <c r="D112" s="282"/>
      <c r="E112" s="142">
        <v>266</v>
      </c>
      <c r="F112" s="143">
        <v>307</v>
      </c>
      <c r="G112" s="396">
        <f t="shared" si="9"/>
        <v>360</v>
      </c>
      <c r="H112" s="19">
        <f t="shared" si="10"/>
        <v>336</v>
      </c>
      <c r="I112" s="138">
        <v>24</v>
      </c>
      <c r="J112" s="179">
        <v>33</v>
      </c>
      <c r="K112" s="179">
        <v>21</v>
      </c>
      <c r="L112" s="179">
        <v>16</v>
      </c>
      <c r="M112" s="179">
        <v>15</v>
      </c>
      <c r="N112" s="265">
        <v>9</v>
      </c>
      <c r="O112" s="179">
        <v>41</v>
      </c>
      <c r="P112" s="179">
        <v>46</v>
      </c>
      <c r="Q112" s="179">
        <v>29</v>
      </c>
      <c r="R112" s="179">
        <v>61</v>
      </c>
      <c r="S112" s="179">
        <v>34</v>
      </c>
      <c r="T112" s="180">
        <v>31</v>
      </c>
    </row>
    <row r="113" spans="1:20" s="181" customFormat="1" ht="24" customHeight="1" x14ac:dyDescent="0.35">
      <c r="A113" s="177"/>
      <c r="B113" s="193" t="s">
        <v>155</v>
      </c>
      <c r="C113" s="314"/>
      <c r="D113" s="282"/>
      <c r="E113" s="142">
        <v>39</v>
      </c>
      <c r="F113" s="143">
        <v>41</v>
      </c>
      <c r="G113" s="396">
        <f t="shared" si="9"/>
        <v>59</v>
      </c>
      <c r="H113" s="19">
        <f t="shared" si="10"/>
        <v>58</v>
      </c>
      <c r="I113" s="178">
        <v>1</v>
      </c>
      <c r="J113" s="179">
        <v>2</v>
      </c>
      <c r="K113" s="179">
        <v>13</v>
      </c>
      <c r="L113" s="179">
        <v>6</v>
      </c>
      <c r="M113" s="179">
        <v>11</v>
      </c>
      <c r="N113" s="265">
        <v>5</v>
      </c>
      <c r="O113" s="179">
        <v>2</v>
      </c>
      <c r="P113" s="179">
        <v>5</v>
      </c>
      <c r="Q113" s="179">
        <v>2</v>
      </c>
      <c r="R113" s="179">
        <v>7</v>
      </c>
      <c r="S113" s="179">
        <v>4</v>
      </c>
      <c r="T113" s="180">
        <v>1</v>
      </c>
    </row>
    <row r="114" spans="1:20" s="181" customFormat="1" ht="24" customHeight="1" x14ac:dyDescent="0.35">
      <c r="A114" s="177"/>
      <c r="B114" s="193" t="s">
        <v>156</v>
      </c>
      <c r="C114" s="314"/>
      <c r="D114" s="282"/>
      <c r="E114" s="142">
        <v>34</v>
      </c>
      <c r="F114" s="143">
        <v>37</v>
      </c>
      <c r="G114" s="396">
        <f t="shared" si="9"/>
        <v>39</v>
      </c>
      <c r="H114" s="19">
        <f t="shared" si="10"/>
        <v>36</v>
      </c>
      <c r="I114" s="178">
        <v>3</v>
      </c>
      <c r="J114" s="179">
        <v>2</v>
      </c>
      <c r="K114" s="179">
        <v>10</v>
      </c>
      <c r="L114" s="179">
        <v>3</v>
      </c>
      <c r="M114" s="179">
        <v>0</v>
      </c>
      <c r="N114" s="265">
        <v>1</v>
      </c>
      <c r="O114" s="179">
        <v>4</v>
      </c>
      <c r="P114" s="179">
        <v>1</v>
      </c>
      <c r="Q114" s="179">
        <v>2</v>
      </c>
      <c r="R114" s="179">
        <v>5</v>
      </c>
      <c r="S114" s="179">
        <v>5</v>
      </c>
      <c r="T114" s="180">
        <v>3</v>
      </c>
    </row>
    <row r="115" spans="1:20" s="181" customFormat="1" ht="24" customHeight="1" x14ac:dyDescent="0.35">
      <c r="A115" s="177"/>
      <c r="B115" s="191" t="s">
        <v>157</v>
      </c>
      <c r="C115" s="309"/>
      <c r="D115" s="283"/>
      <c r="E115" s="142">
        <v>130</v>
      </c>
      <c r="F115" s="143">
        <v>133</v>
      </c>
      <c r="G115" s="396">
        <f t="shared" si="9"/>
        <v>57</v>
      </c>
      <c r="H115" s="19">
        <f t="shared" si="10"/>
        <v>37</v>
      </c>
      <c r="I115" s="178">
        <v>20</v>
      </c>
      <c r="J115" s="179">
        <v>12</v>
      </c>
      <c r="K115" s="179">
        <v>1</v>
      </c>
      <c r="L115" s="179">
        <v>3</v>
      </c>
      <c r="M115" s="179">
        <v>1</v>
      </c>
      <c r="N115" s="265">
        <v>3</v>
      </c>
      <c r="O115" s="179">
        <v>2</v>
      </c>
      <c r="P115" s="179">
        <v>3</v>
      </c>
      <c r="Q115" s="179">
        <v>3</v>
      </c>
      <c r="R115" s="179">
        <v>2</v>
      </c>
      <c r="S115" s="179">
        <v>4</v>
      </c>
      <c r="T115" s="180">
        <v>3</v>
      </c>
    </row>
    <row r="116" spans="1:20" s="181" customFormat="1" ht="24" customHeight="1" x14ac:dyDescent="0.35">
      <c r="A116" s="177"/>
      <c r="B116" s="190" t="s">
        <v>158</v>
      </c>
      <c r="C116" s="319"/>
      <c r="D116" s="290"/>
      <c r="E116" s="142">
        <v>37</v>
      </c>
      <c r="F116" s="143">
        <v>41</v>
      </c>
      <c r="G116" s="397">
        <f t="shared" si="9"/>
        <v>30</v>
      </c>
      <c r="H116" s="38">
        <f t="shared" si="10"/>
        <v>28</v>
      </c>
      <c r="I116" s="178">
        <v>2</v>
      </c>
      <c r="J116" s="179">
        <v>4</v>
      </c>
      <c r="K116" s="179">
        <v>1</v>
      </c>
      <c r="L116" s="179" t="s">
        <v>41</v>
      </c>
      <c r="M116" s="179">
        <v>0</v>
      </c>
      <c r="N116" s="265">
        <v>0</v>
      </c>
      <c r="O116" s="179">
        <v>1</v>
      </c>
      <c r="P116" s="179">
        <v>8</v>
      </c>
      <c r="Q116" s="179">
        <v>4</v>
      </c>
      <c r="R116" s="179">
        <v>4</v>
      </c>
      <c r="S116" s="179">
        <v>4</v>
      </c>
      <c r="T116" s="180">
        <v>2</v>
      </c>
    </row>
    <row r="117" spans="1:20" s="126" customFormat="1" ht="16" customHeight="1" x14ac:dyDescent="0.35">
      <c r="A117" s="125"/>
      <c r="B117" s="498" t="s">
        <v>102</v>
      </c>
      <c r="C117" s="500"/>
      <c r="D117" s="500"/>
      <c r="E117" s="500"/>
      <c r="F117" s="500"/>
      <c r="G117" s="500"/>
      <c r="H117" s="500"/>
      <c r="I117" s="500"/>
      <c r="J117" s="500"/>
      <c r="K117" s="500"/>
      <c r="L117" s="500"/>
      <c r="M117" s="500"/>
      <c r="N117" s="500"/>
      <c r="O117" s="500"/>
      <c r="P117" s="500"/>
      <c r="Q117" s="500"/>
      <c r="R117" s="500"/>
      <c r="S117" s="500"/>
      <c r="T117" s="501"/>
    </row>
    <row r="118" spans="1:20" s="126" customFormat="1" ht="16" customHeight="1" x14ac:dyDescent="0.35">
      <c r="A118" s="125"/>
      <c r="B118" s="505" t="s">
        <v>28</v>
      </c>
      <c r="C118" s="506"/>
      <c r="D118" s="506"/>
      <c r="E118" s="506"/>
      <c r="F118" s="506"/>
      <c r="G118" s="506"/>
      <c r="H118" s="506"/>
      <c r="I118" s="506"/>
      <c r="J118" s="506"/>
      <c r="K118" s="506"/>
      <c r="L118" s="506"/>
      <c r="M118" s="506"/>
      <c r="N118" s="506"/>
      <c r="O118" s="506"/>
      <c r="P118" s="506"/>
      <c r="Q118" s="506"/>
      <c r="R118" s="506"/>
      <c r="S118" s="506"/>
      <c r="T118" s="507"/>
    </row>
    <row r="119" spans="1:20" ht="15" customHeight="1" x14ac:dyDescent="0.35">
      <c r="A119" s="12"/>
      <c r="B119" s="18" t="s">
        <v>159</v>
      </c>
      <c r="C119" s="181"/>
      <c r="D119" s="325" t="s">
        <v>205</v>
      </c>
      <c r="E119" s="344">
        <v>120.41666666666667</v>
      </c>
      <c r="F119" s="344">
        <v>102</v>
      </c>
      <c r="G119" s="327">
        <f>AVERAGE(I119:T119)</f>
        <v>83.083333333333329</v>
      </c>
      <c r="H119" s="147">
        <f>AVERAGE(I119:T119)</f>
        <v>83.083333333333329</v>
      </c>
      <c r="I119" s="48">
        <v>84</v>
      </c>
      <c r="J119" s="260">
        <v>86</v>
      </c>
      <c r="K119" s="49">
        <v>81</v>
      </c>
      <c r="L119" s="49">
        <v>82</v>
      </c>
      <c r="M119" s="49">
        <v>83</v>
      </c>
      <c r="N119" s="4">
        <v>85</v>
      </c>
      <c r="O119" s="49">
        <v>85</v>
      </c>
      <c r="P119" s="49">
        <v>81</v>
      </c>
      <c r="Q119" s="49">
        <v>83</v>
      </c>
      <c r="R119" s="49">
        <v>81</v>
      </c>
      <c r="S119" s="49">
        <v>83</v>
      </c>
      <c r="T119" s="51">
        <v>83</v>
      </c>
    </row>
    <row r="120" spans="1:20" ht="15" customHeight="1" x14ac:dyDescent="0.35">
      <c r="A120" s="12"/>
      <c r="B120" s="18" t="s">
        <v>160</v>
      </c>
      <c r="C120" s="181"/>
      <c r="D120" s="325" t="s">
        <v>205</v>
      </c>
      <c r="E120" s="335">
        <v>33.75</v>
      </c>
      <c r="F120" s="344">
        <v>12</v>
      </c>
      <c r="G120" s="327">
        <f>AVERAGE(I120:T120)</f>
        <v>23.583333333333332</v>
      </c>
      <c r="H120" s="147">
        <f>AVERAGE(I120:T120)</f>
        <v>23.583333333333332</v>
      </c>
      <c r="I120" s="48">
        <v>10</v>
      </c>
      <c r="J120" s="48">
        <v>11</v>
      </c>
      <c r="K120" s="49">
        <v>11</v>
      </c>
      <c r="L120" s="49">
        <v>11</v>
      </c>
      <c r="M120" s="49">
        <v>26</v>
      </c>
      <c r="N120" s="4">
        <v>36</v>
      </c>
      <c r="O120" s="49">
        <v>31</v>
      </c>
      <c r="P120" s="49">
        <v>31</v>
      </c>
      <c r="Q120" s="49">
        <v>22</v>
      </c>
      <c r="R120" s="49">
        <v>31</v>
      </c>
      <c r="S120" s="49">
        <v>31</v>
      </c>
      <c r="T120" s="51">
        <v>32</v>
      </c>
    </row>
    <row r="121" spans="1:20" ht="33" customHeight="1" x14ac:dyDescent="0.4">
      <c r="A121" s="12"/>
      <c r="B121" s="30" t="s">
        <v>161</v>
      </c>
      <c r="D121" s="325" t="s">
        <v>205</v>
      </c>
      <c r="E121" s="335">
        <v>1330.2857142857142</v>
      </c>
      <c r="F121" s="344">
        <v>103.16666666666667</v>
      </c>
      <c r="G121" s="327" t="e">
        <f>AVERAGE(I121:T121)</f>
        <v>#DIV/0!</v>
      </c>
      <c r="H121" s="147" t="e">
        <f>AVERAGE(I121:T121)</f>
        <v>#DIV/0!</v>
      </c>
      <c r="I121" s="382" t="s">
        <v>252</v>
      </c>
      <c r="J121" s="382" t="s">
        <v>252</v>
      </c>
      <c r="K121" s="382" t="s">
        <v>252</v>
      </c>
      <c r="L121" s="382" t="s">
        <v>252</v>
      </c>
      <c r="M121" s="382" t="s">
        <v>252</v>
      </c>
      <c r="N121" s="382" t="s">
        <v>252</v>
      </c>
      <c r="O121" s="382" t="s">
        <v>252</v>
      </c>
      <c r="P121" s="382" t="s">
        <v>252</v>
      </c>
      <c r="Q121" s="382" t="s">
        <v>252</v>
      </c>
      <c r="R121" s="382" t="s">
        <v>252</v>
      </c>
      <c r="S121" s="382" t="s">
        <v>252</v>
      </c>
      <c r="T121" s="382" t="s">
        <v>252</v>
      </c>
    </row>
    <row r="122" spans="1:20" ht="1.5" hidden="1" customHeight="1" x14ac:dyDescent="0.35">
      <c r="A122" s="12"/>
      <c r="B122" s="193" t="s">
        <v>107</v>
      </c>
      <c r="C122" s="311"/>
      <c r="E122" s="165">
        <v>0</v>
      </c>
      <c r="F122" s="166">
        <v>403</v>
      </c>
      <c r="G122" s="147">
        <f>AVERAGEIF(I122:T122,"&lt;&gt;0")</f>
        <v>74.400000000000006</v>
      </c>
      <c r="H122" s="147">
        <f>AVERAGEIF(J122:U122,"&lt;&gt;0")</f>
        <v>60.5</v>
      </c>
      <c r="I122" s="48">
        <v>130</v>
      </c>
      <c r="J122" s="260" t="s">
        <v>41</v>
      </c>
      <c r="K122" s="49">
        <v>73</v>
      </c>
      <c r="L122" s="49">
        <v>90</v>
      </c>
      <c r="M122" s="49">
        <v>30</v>
      </c>
      <c r="N122" s="364">
        <v>49</v>
      </c>
      <c r="O122" s="49">
        <v>0</v>
      </c>
      <c r="P122" s="49">
        <v>0</v>
      </c>
      <c r="Q122" s="49">
        <v>0</v>
      </c>
      <c r="R122" s="49">
        <v>0</v>
      </c>
      <c r="S122" s="49">
        <v>0</v>
      </c>
      <c r="T122" s="51">
        <v>0</v>
      </c>
    </row>
    <row r="123" spans="1:20" ht="2.25" hidden="1" customHeight="1" x14ac:dyDescent="0.35">
      <c r="A123" s="12"/>
      <c r="B123" s="192" t="s">
        <v>108</v>
      </c>
      <c r="C123" s="311"/>
      <c r="E123" s="165">
        <v>0</v>
      </c>
      <c r="F123" s="166">
        <v>2006</v>
      </c>
      <c r="G123" s="148">
        <f>SUM(I123:T123)</f>
        <v>0</v>
      </c>
      <c r="H123" s="148">
        <f>SUM(J123:U123)</f>
        <v>0</v>
      </c>
      <c r="I123" s="48">
        <v>0</v>
      </c>
      <c r="J123" s="261" t="s">
        <v>41</v>
      </c>
      <c r="K123" s="52" t="s">
        <v>41</v>
      </c>
      <c r="L123" s="52" t="s">
        <v>41</v>
      </c>
      <c r="M123" s="52" t="s">
        <v>41</v>
      </c>
      <c r="N123" s="365" t="s">
        <v>41</v>
      </c>
      <c r="O123" s="52">
        <v>0</v>
      </c>
      <c r="P123" s="52">
        <v>0</v>
      </c>
      <c r="Q123" s="52">
        <v>0</v>
      </c>
      <c r="R123" s="52">
        <v>0</v>
      </c>
      <c r="S123" s="52">
        <v>0</v>
      </c>
      <c r="T123" s="51">
        <v>0</v>
      </c>
    </row>
    <row r="124" spans="1:20" s="126" customFormat="1" ht="16" customHeight="1" x14ac:dyDescent="0.35">
      <c r="A124" s="125"/>
      <c r="B124" s="484" t="s">
        <v>165</v>
      </c>
      <c r="C124" s="485"/>
      <c r="D124" s="485"/>
      <c r="E124" s="485"/>
      <c r="F124" s="485"/>
      <c r="G124" s="485"/>
      <c r="H124" s="485"/>
      <c r="I124" s="485"/>
      <c r="J124" s="485"/>
      <c r="K124" s="485"/>
      <c r="L124" s="485"/>
      <c r="M124" s="485"/>
      <c r="N124" s="485"/>
      <c r="O124" s="485"/>
      <c r="P124" s="485"/>
      <c r="Q124" s="485"/>
      <c r="R124" s="485"/>
      <c r="S124" s="485"/>
      <c r="T124" s="486"/>
    </row>
    <row r="125" spans="1:20" ht="15" customHeight="1" x14ac:dyDescent="0.35">
      <c r="A125" s="12"/>
      <c r="B125" s="32" t="s">
        <v>210</v>
      </c>
      <c r="E125" s="167">
        <v>0</v>
      </c>
      <c r="F125" s="168">
        <v>222633</v>
      </c>
      <c r="G125" s="169">
        <f t="shared" ref="G125:H128" si="11">SUM(I125:T125)</f>
        <v>209259</v>
      </c>
      <c r="H125" s="538">
        <f t="shared" si="11"/>
        <v>189558</v>
      </c>
      <c r="I125" s="33">
        <v>19701</v>
      </c>
      <c r="J125" s="34">
        <v>19066</v>
      </c>
      <c r="K125" s="34">
        <v>18439</v>
      </c>
      <c r="L125" s="34">
        <v>17696</v>
      </c>
      <c r="M125" s="34">
        <v>17382</v>
      </c>
      <c r="N125" s="8">
        <v>16922</v>
      </c>
      <c r="O125" s="34">
        <v>16447</v>
      </c>
      <c r="P125" s="34">
        <v>16581</v>
      </c>
      <c r="Q125" s="34">
        <v>16699</v>
      </c>
      <c r="R125" s="34">
        <v>16665</v>
      </c>
      <c r="S125" s="34">
        <v>16762</v>
      </c>
      <c r="T125" s="53">
        <v>16899</v>
      </c>
    </row>
    <row r="126" spans="1:20" ht="15" customHeight="1" x14ac:dyDescent="0.35">
      <c r="A126" s="12"/>
      <c r="B126" s="30" t="s">
        <v>162</v>
      </c>
      <c r="E126" s="167">
        <v>0</v>
      </c>
      <c r="F126" s="168">
        <v>412422</v>
      </c>
      <c r="G126" s="169">
        <f t="shared" si="11"/>
        <v>406562</v>
      </c>
      <c r="H126" s="538">
        <f t="shared" si="11"/>
        <v>369513</v>
      </c>
      <c r="I126" s="36">
        <v>37049</v>
      </c>
      <c r="J126" s="37">
        <v>36172</v>
      </c>
      <c r="K126" s="37">
        <v>35122</v>
      </c>
      <c r="L126" s="37">
        <v>34117</v>
      </c>
      <c r="M126" s="37">
        <v>33651</v>
      </c>
      <c r="N126" s="16">
        <v>32988</v>
      </c>
      <c r="O126" s="34">
        <v>32232</v>
      </c>
      <c r="P126" s="37">
        <v>32646</v>
      </c>
      <c r="Q126" s="37">
        <v>32997</v>
      </c>
      <c r="R126" s="138">
        <v>32869</v>
      </c>
      <c r="S126" s="37">
        <v>33181</v>
      </c>
      <c r="T126" s="35">
        <v>33538</v>
      </c>
    </row>
    <row r="127" spans="1:20" ht="15" hidden="1" customHeight="1" x14ac:dyDescent="0.35">
      <c r="A127" s="12"/>
      <c r="B127" s="31" t="s">
        <v>163</v>
      </c>
      <c r="E127" s="167">
        <v>0</v>
      </c>
      <c r="F127" s="168">
        <v>0</v>
      </c>
      <c r="G127" s="169">
        <f t="shared" si="11"/>
        <v>0</v>
      </c>
      <c r="H127" s="169">
        <f t="shared" si="11"/>
        <v>0</v>
      </c>
      <c r="I127" s="54"/>
      <c r="J127" s="44"/>
      <c r="K127" s="44"/>
      <c r="L127" s="44"/>
      <c r="M127" s="44"/>
      <c r="N127" s="360"/>
      <c r="O127" s="34"/>
      <c r="P127" s="44"/>
      <c r="Q127" s="44"/>
      <c r="R127" s="44"/>
      <c r="S127" s="44"/>
      <c r="T127" s="55"/>
    </row>
    <row r="128" spans="1:20" ht="15" customHeight="1" x14ac:dyDescent="0.35">
      <c r="A128" s="12"/>
      <c r="B128" s="31" t="s">
        <v>164</v>
      </c>
      <c r="E128" s="167">
        <v>0</v>
      </c>
      <c r="F128" s="168">
        <v>56104956.780000001</v>
      </c>
      <c r="G128" s="169">
        <f t="shared" si="11"/>
        <v>74274697</v>
      </c>
      <c r="H128" s="538">
        <f t="shared" si="11"/>
        <v>67821012</v>
      </c>
      <c r="I128" s="56">
        <v>6453685</v>
      </c>
      <c r="J128" s="57">
        <v>6360800</v>
      </c>
      <c r="K128" s="57">
        <v>6447081</v>
      </c>
      <c r="L128" s="57">
        <v>6316289</v>
      </c>
      <c r="M128" s="57">
        <v>6309184</v>
      </c>
      <c r="N128" s="360">
        <v>6123513</v>
      </c>
      <c r="O128" s="34">
        <v>5883913</v>
      </c>
      <c r="P128" s="57">
        <v>5983324</v>
      </c>
      <c r="Q128" s="57">
        <v>6056042</v>
      </c>
      <c r="R128" s="57">
        <v>5996901</v>
      </c>
      <c r="S128" s="57">
        <v>6138408</v>
      </c>
      <c r="T128" s="59">
        <v>6205557</v>
      </c>
    </row>
    <row r="129" spans="1:20" s="126" customFormat="1" ht="16" customHeight="1" x14ac:dyDescent="0.35">
      <c r="A129" s="125"/>
      <c r="B129" s="484" t="s">
        <v>206</v>
      </c>
      <c r="C129" s="485"/>
      <c r="D129" s="485"/>
      <c r="E129" s="485"/>
      <c r="F129" s="485"/>
      <c r="G129" s="485"/>
      <c r="H129" s="485"/>
      <c r="I129" s="485"/>
      <c r="J129" s="485"/>
      <c r="K129" s="485"/>
      <c r="L129" s="485"/>
      <c r="M129" s="485"/>
      <c r="N129" s="485"/>
      <c r="O129" s="485"/>
      <c r="P129" s="485"/>
      <c r="Q129" s="485"/>
      <c r="R129" s="485"/>
      <c r="S129" s="485"/>
      <c r="T129" s="486"/>
    </row>
    <row r="130" spans="1:20" ht="19.5" customHeight="1" x14ac:dyDescent="0.35">
      <c r="A130" s="12"/>
      <c r="B130" s="32" t="s">
        <v>207</v>
      </c>
      <c r="E130" s="156">
        <v>0</v>
      </c>
      <c r="F130" s="157">
        <v>559666</v>
      </c>
      <c r="G130" s="170">
        <f t="shared" ref="G130:H134" si="12">SUM(I130:T130)</f>
        <v>938714</v>
      </c>
      <c r="H130" s="539">
        <f t="shared" si="12"/>
        <v>858870</v>
      </c>
      <c r="I130" s="250">
        <v>79844</v>
      </c>
      <c r="J130" s="34">
        <v>79394</v>
      </c>
      <c r="K130" s="256">
        <v>78503</v>
      </c>
      <c r="L130" s="256">
        <v>78187</v>
      </c>
      <c r="M130" s="256">
        <v>77507</v>
      </c>
      <c r="N130" s="8">
        <v>77532</v>
      </c>
      <c r="O130" s="34">
        <v>78692</v>
      </c>
      <c r="P130" s="34">
        <v>78967</v>
      </c>
      <c r="Q130" s="34">
        <v>79055</v>
      </c>
      <c r="R130" s="34">
        <v>78257</v>
      </c>
      <c r="S130" s="34">
        <v>77008</v>
      </c>
      <c r="T130" s="9">
        <v>75768</v>
      </c>
    </row>
    <row r="131" spans="1:20" ht="12.65" hidden="1" customHeight="1" x14ac:dyDescent="0.35">
      <c r="A131" s="12"/>
      <c r="B131" s="30" t="s">
        <v>166</v>
      </c>
      <c r="E131" s="156">
        <v>0</v>
      </c>
      <c r="F131" s="157">
        <v>12670</v>
      </c>
      <c r="G131" s="170">
        <f t="shared" si="12"/>
        <v>0</v>
      </c>
      <c r="H131" s="170">
        <f t="shared" si="12"/>
        <v>0</v>
      </c>
      <c r="I131" s="20"/>
      <c r="J131" s="21"/>
      <c r="K131" s="21"/>
      <c r="L131" s="21"/>
      <c r="M131" s="21"/>
      <c r="N131" s="21"/>
      <c r="O131" s="8"/>
      <c r="P131" s="21"/>
      <c r="Q131" s="21"/>
      <c r="R131" s="21"/>
      <c r="S131" s="21"/>
      <c r="T131" s="17"/>
    </row>
    <row r="132" spans="1:20" ht="15" customHeight="1" x14ac:dyDescent="0.35">
      <c r="A132" s="12"/>
      <c r="B132" s="31" t="s">
        <v>167</v>
      </c>
      <c r="E132" s="156">
        <v>0</v>
      </c>
      <c r="F132" s="157">
        <v>7734</v>
      </c>
      <c r="G132" s="170">
        <f t="shared" si="12"/>
        <v>6827</v>
      </c>
      <c r="H132" s="539">
        <f t="shared" si="12"/>
        <v>6320</v>
      </c>
      <c r="I132" s="20">
        <v>507</v>
      </c>
      <c r="J132" s="21">
        <v>516</v>
      </c>
      <c r="K132" s="407">
        <v>543</v>
      </c>
      <c r="L132" s="21">
        <v>559</v>
      </c>
      <c r="M132" s="21">
        <v>588</v>
      </c>
      <c r="N132" s="21">
        <v>590</v>
      </c>
      <c r="O132" s="8">
        <v>596</v>
      </c>
      <c r="P132" s="21">
        <v>567</v>
      </c>
      <c r="Q132" s="21">
        <v>578</v>
      </c>
      <c r="R132" s="21">
        <v>593</v>
      </c>
      <c r="S132" s="21">
        <v>601</v>
      </c>
      <c r="T132" s="22">
        <v>589</v>
      </c>
    </row>
    <row r="133" spans="1:20" ht="25" x14ac:dyDescent="0.35">
      <c r="A133" s="12"/>
      <c r="B133" s="304" t="s">
        <v>194</v>
      </c>
      <c r="C133" s="320"/>
      <c r="D133" s="285"/>
      <c r="E133" s="156">
        <v>0</v>
      </c>
      <c r="F133" s="157">
        <v>1.8613464253625978</v>
      </c>
      <c r="G133" s="170">
        <f t="shared" si="12"/>
        <v>2.8993119223858264</v>
      </c>
      <c r="H133" s="539">
        <f t="shared" si="12"/>
        <v>2.6529316889791064</v>
      </c>
      <c r="I133" s="267">
        <f>SUM(I130:I132)/U176</f>
        <v>0.24638023340672011</v>
      </c>
      <c r="J133" s="267">
        <f>SUM(J130:J132)/U176</f>
        <v>0.24502799531469432</v>
      </c>
      <c r="K133" s="267">
        <f>SUM(K130:K132)/U176</f>
        <v>0.24237871252215401</v>
      </c>
      <c r="L133" s="267">
        <f>SUM(L130:L132)/U176</f>
        <v>0.24145882266363308</v>
      </c>
      <c r="M133" s="267">
        <f>SUM(M130:M132)/U176</f>
        <v>0.23946266167064265</v>
      </c>
      <c r="N133" s="408">
        <f>SUM(N130:N132)/U176</f>
        <v>0.23954545175790953</v>
      </c>
      <c r="O133" s="408">
        <f>SUM(O130:O132)/U176</f>
        <v>0.24312075700802757</v>
      </c>
      <c r="P133" s="408">
        <f>SUM(P130:P132)/U176</f>
        <v>0.24387506669201475</v>
      </c>
      <c r="Q133" s="408">
        <f>SUM(Q130:Q132)/U176</f>
        <v>0.24417863034532666</v>
      </c>
      <c r="R133" s="408">
        <f>SUM(R130:R132)/U176</f>
        <v>0.24177771781458701</v>
      </c>
      <c r="S133" s="408">
        <f>SUM(S130:S132)/U176</f>
        <v>0.2379724400998387</v>
      </c>
      <c r="T133" s="408">
        <f>SUM(T130:T132)/U176</f>
        <v>0.23413343309027798</v>
      </c>
    </row>
    <row r="134" spans="1:20" ht="27" customHeight="1" x14ac:dyDescent="0.35">
      <c r="A134" s="12"/>
      <c r="B134" s="305" t="s">
        <v>168</v>
      </c>
      <c r="C134" s="320"/>
      <c r="D134" s="285"/>
      <c r="E134" s="156">
        <v>0</v>
      </c>
      <c r="F134" s="171">
        <v>3850262</v>
      </c>
      <c r="G134" s="170">
        <f t="shared" si="12"/>
        <v>3177382</v>
      </c>
      <c r="H134" s="539">
        <f t="shared" si="12"/>
        <v>2946295</v>
      </c>
      <c r="I134" s="60">
        <v>231087</v>
      </c>
      <c r="J134" s="61">
        <v>251379</v>
      </c>
      <c r="K134" s="61">
        <v>269771</v>
      </c>
      <c r="L134" s="61">
        <v>254015</v>
      </c>
      <c r="M134" s="61">
        <v>263953</v>
      </c>
      <c r="N134" s="277">
        <v>259394</v>
      </c>
      <c r="O134" s="71">
        <v>263505</v>
      </c>
      <c r="P134" s="61">
        <v>272375</v>
      </c>
      <c r="Q134" s="61">
        <v>275255</v>
      </c>
      <c r="R134" s="61">
        <v>276296</v>
      </c>
      <c r="S134" s="61">
        <v>280596</v>
      </c>
      <c r="T134" s="62">
        <v>279756</v>
      </c>
    </row>
    <row r="135" spans="1:20" ht="1.5" customHeight="1" x14ac:dyDescent="0.35">
      <c r="A135" s="12"/>
      <c r="B135" s="305" t="s">
        <v>208</v>
      </c>
      <c r="C135" s="320"/>
      <c r="D135" s="285"/>
      <c r="E135" s="161"/>
      <c r="F135" s="163"/>
      <c r="G135" s="302"/>
      <c r="H135" s="302"/>
      <c r="I135" s="303" t="s">
        <v>41</v>
      </c>
      <c r="J135" s="303" t="s">
        <v>41</v>
      </c>
      <c r="K135" s="303" t="s">
        <v>41</v>
      </c>
      <c r="L135" s="303" t="s">
        <v>41</v>
      </c>
      <c r="M135" s="303" t="s">
        <v>41</v>
      </c>
      <c r="N135" s="303" t="s">
        <v>41</v>
      </c>
      <c r="O135" s="303" t="s">
        <v>41</v>
      </c>
      <c r="P135" s="303" t="s">
        <v>41</v>
      </c>
      <c r="Q135" s="303" t="s">
        <v>41</v>
      </c>
      <c r="R135" s="303" t="s">
        <v>41</v>
      </c>
      <c r="S135" s="366"/>
      <c r="T135" s="366"/>
    </row>
    <row r="136" spans="1:20" s="126" customFormat="1" ht="15.75" customHeight="1" x14ac:dyDescent="0.35">
      <c r="A136" s="125"/>
      <c r="B136" s="490" t="s">
        <v>30</v>
      </c>
      <c r="C136" s="491"/>
      <c r="D136" s="491"/>
      <c r="E136" s="491"/>
      <c r="F136" s="491"/>
      <c r="G136" s="491"/>
      <c r="H136" s="491"/>
      <c r="I136" s="491"/>
      <c r="J136" s="491"/>
      <c r="K136" s="491"/>
      <c r="L136" s="491"/>
      <c r="M136" s="491"/>
      <c r="N136" s="491"/>
      <c r="O136" s="491"/>
      <c r="P136" s="491"/>
      <c r="Q136" s="491"/>
      <c r="R136" s="491"/>
      <c r="S136" s="491"/>
      <c r="T136" s="492"/>
    </row>
    <row r="137" spans="1:20" s="126" customFormat="1" ht="16" customHeight="1" x14ac:dyDescent="0.35">
      <c r="A137" s="125"/>
      <c r="B137" s="493" t="s">
        <v>29</v>
      </c>
      <c r="C137" s="494"/>
      <c r="D137" s="494"/>
      <c r="E137" s="494"/>
      <c r="F137" s="494"/>
      <c r="G137" s="494"/>
      <c r="H137" s="494"/>
      <c r="I137" s="494"/>
      <c r="J137" s="494"/>
      <c r="K137" s="494"/>
      <c r="L137" s="494"/>
      <c r="M137" s="494"/>
      <c r="N137" s="494"/>
      <c r="O137" s="494"/>
      <c r="P137" s="494"/>
      <c r="Q137" s="494"/>
      <c r="R137" s="494"/>
      <c r="S137" s="494"/>
      <c r="T137" s="495"/>
    </row>
    <row r="138" spans="1:20" ht="15" customHeight="1" x14ac:dyDescent="0.35">
      <c r="A138" s="12"/>
      <c r="B138" s="32" t="s">
        <v>214</v>
      </c>
      <c r="E138" s="156">
        <v>0</v>
      </c>
      <c r="F138" s="157">
        <v>4108</v>
      </c>
      <c r="G138" s="170">
        <f t="shared" ref="G138:H141" si="13">SUM(I138:T138)</f>
        <v>1987</v>
      </c>
      <c r="H138" s="539">
        <f t="shared" si="13"/>
        <v>1819</v>
      </c>
      <c r="I138" s="7">
        <v>168</v>
      </c>
      <c r="J138" s="46">
        <v>175</v>
      </c>
      <c r="K138" s="46">
        <v>167</v>
      </c>
      <c r="L138" s="46">
        <v>170</v>
      </c>
      <c r="M138" s="46">
        <v>174</v>
      </c>
      <c r="N138" s="46">
        <v>173</v>
      </c>
      <c r="O138" s="8">
        <v>168</v>
      </c>
      <c r="P138" s="46">
        <v>171</v>
      </c>
      <c r="Q138" s="46">
        <v>164</v>
      </c>
      <c r="R138" s="46">
        <v>154</v>
      </c>
      <c r="S138" s="46">
        <v>147</v>
      </c>
      <c r="T138" s="46">
        <v>156</v>
      </c>
    </row>
    <row r="139" spans="1:20" ht="15" customHeight="1" x14ac:dyDescent="0.35">
      <c r="A139" s="12"/>
      <c r="B139" s="193" t="s">
        <v>169</v>
      </c>
      <c r="C139" s="311"/>
      <c r="E139" s="156">
        <v>0</v>
      </c>
      <c r="F139" s="157">
        <v>3156</v>
      </c>
      <c r="G139" s="170">
        <f t="shared" si="13"/>
        <v>1271</v>
      </c>
      <c r="H139" s="539">
        <f t="shared" si="13"/>
        <v>1150</v>
      </c>
      <c r="I139" s="15">
        <v>121</v>
      </c>
      <c r="J139" s="16">
        <v>117</v>
      </c>
      <c r="K139" s="16">
        <v>114</v>
      </c>
      <c r="L139" s="46">
        <v>107</v>
      </c>
      <c r="M139" s="46">
        <v>108</v>
      </c>
      <c r="N139" s="46">
        <v>103</v>
      </c>
      <c r="O139" s="8">
        <v>103</v>
      </c>
      <c r="P139" s="236">
        <v>102</v>
      </c>
      <c r="Q139" s="16">
        <v>102</v>
      </c>
      <c r="R139" s="16">
        <v>100</v>
      </c>
      <c r="S139" s="16">
        <v>96</v>
      </c>
      <c r="T139" s="17">
        <v>98</v>
      </c>
    </row>
    <row r="140" spans="1:20" ht="15" customHeight="1" x14ac:dyDescent="0.35">
      <c r="A140" s="12"/>
      <c r="B140" s="193" t="s">
        <v>170</v>
      </c>
      <c r="C140" s="311"/>
      <c r="E140" s="156">
        <v>0</v>
      </c>
      <c r="F140" s="157">
        <v>952</v>
      </c>
      <c r="G140" s="170">
        <f t="shared" si="13"/>
        <v>706</v>
      </c>
      <c r="H140" s="539">
        <f t="shared" si="13"/>
        <v>659</v>
      </c>
      <c r="I140" s="15">
        <v>47</v>
      </c>
      <c r="J140" s="16">
        <v>58</v>
      </c>
      <c r="K140" s="138">
        <v>53</v>
      </c>
      <c r="L140" s="46">
        <v>63</v>
      </c>
      <c r="M140" s="46">
        <v>66</v>
      </c>
      <c r="N140" s="46">
        <v>70</v>
      </c>
      <c r="O140" s="8">
        <v>65</v>
      </c>
      <c r="P140" s="236">
        <v>59</v>
      </c>
      <c r="Q140" s="16">
        <v>62</v>
      </c>
      <c r="R140" s="16">
        <v>54</v>
      </c>
      <c r="S140" s="16">
        <v>51</v>
      </c>
      <c r="T140" s="17">
        <v>58</v>
      </c>
    </row>
    <row r="141" spans="1:20" ht="15" customHeight="1" x14ac:dyDescent="0.35">
      <c r="A141" s="12"/>
      <c r="B141" s="31" t="s">
        <v>171</v>
      </c>
      <c r="E141" s="156">
        <v>0</v>
      </c>
      <c r="F141" s="157">
        <v>883408</v>
      </c>
      <c r="G141" s="170">
        <f t="shared" si="13"/>
        <v>477050</v>
      </c>
      <c r="H141" s="539">
        <f t="shared" si="13"/>
        <v>434705</v>
      </c>
      <c r="I141" s="60">
        <v>42345</v>
      </c>
      <c r="J141" s="58">
        <v>42951</v>
      </c>
      <c r="K141" s="58">
        <v>41066</v>
      </c>
      <c r="L141" s="58">
        <v>36159</v>
      </c>
      <c r="M141" s="58">
        <v>42118</v>
      </c>
      <c r="N141" s="41">
        <v>44558</v>
      </c>
      <c r="O141" s="58">
        <v>40663</v>
      </c>
      <c r="P141" s="326">
        <v>37406</v>
      </c>
      <c r="Q141" s="58">
        <v>39390</v>
      </c>
      <c r="R141" s="58">
        <v>36597</v>
      </c>
      <c r="S141" s="58">
        <v>35500</v>
      </c>
      <c r="T141" s="59">
        <v>38297</v>
      </c>
    </row>
    <row r="142" spans="1:20" s="126" customFormat="1" ht="16" customHeight="1" x14ac:dyDescent="0.35">
      <c r="A142" s="125"/>
      <c r="B142" s="496" t="s">
        <v>31</v>
      </c>
      <c r="C142" s="441"/>
      <c r="D142" s="441"/>
      <c r="E142" s="441"/>
      <c r="F142" s="441"/>
      <c r="G142" s="441"/>
      <c r="H142" s="441"/>
      <c r="I142" s="441"/>
      <c r="J142" s="441"/>
      <c r="K142" s="441"/>
      <c r="L142" s="441"/>
      <c r="M142" s="441"/>
      <c r="N142" s="441"/>
      <c r="O142" s="441"/>
      <c r="P142" s="441"/>
      <c r="Q142" s="441"/>
      <c r="R142" s="441"/>
      <c r="S142" s="441"/>
      <c r="T142" s="497"/>
    </row>
    <row r="143" spans="1:20" ht="15" customHeight="1" x14ac:dyDescent="0.35">
      <c r="A143" s="12"/>
      <c r="B143" s="32" t="s">
        <v>172</v>
      </c>
      <c r="E143" s="156">
        <v>0</v>
      </c>
      <c r="F143" s="157">
        <v>934</v>
      </c>
      <c r="G143" s="170">
        <f t="shared" ref="G143:H145" si="14">SUM(I143:T143)</f>
        <v>0</v>
      </c>
      <c r="H143" s="539">
        <f t="shared" si="14"/>
        <v>0</v>
      </c>
      <c r="I143" s="301" t="s">
        <v>41</v>
      </c>
      <c r="J143" s="301" t="s">
        <v>41</v>
      </c>
      <c r="K143" s="301" t="s">
        <v>41</v>
      </c>
      <c r="L143" s="301" t="s">
        <v>41</v>
      </c>
      <c r="M143" s="301" t="s">
        <v>41</v>
      </c>
      <c r="N143" s="301" t="s">
        <v>41</v>
      </c>
      <c r="O143" s="301" t="s">
        <v>41</v>
      </c>
      <c r="P143" s="301" t="s">
        <v>41</v>
      </c>
      <c r="Q143" s="301" t="s">
        <v>41</v>
      </c>
      <c r="R143" s="301" t="s">
        <v>41</v>
      </c>
      <c r="S143" s="301" t="s">
        <v>41</v>
      </c>
      <c r="T143" s="301" t="s">
        <v>41</v>
      </c>
    </row>
    <row r="144" spans="1:20" ht="15" hidden="1" customHeight="1" x14ac:dyDescent="0.35">
      <c r="A144" s="12"/>
      <c r="B144" s="63" t="s">
        <v>173</v>
      </c>
      <c r="C144" s="320"/>
      <c r="D144" s="285"/>
      <c r="E144" s="172">
        <v>0</v>
      </c>
      <c r="F144" s="173">
        <v>0</v>
      </c>
      <c r="G144" s="170">
        <f t="shared" si="14"/>
        <v>0</v>
      </c>
      <c r="H144" s="170">
        <f t="shared" si="14"/>
        <v>0</v>
      </c>
      <c r="I144" s="301" t="s">
        <v>41</v>
      </c>
      <c r="J144" s="301" t="s">
        <v>41</v>
      </c>
      <c r="K144" s="301" t="s">
        <v>41</v>
      </c>
      <c r="L144" s="301" t="s">
        <v>41</v>
      </c>
      <c r="M144" s="301" t="s">
        <v>41</v>
      </c>
      <c r="N144" s="301" t="s">
        <v>41</v>
      </c>
      <c r="O144" s="301" t="s">
        <v>41</v>
      </c>
      <c r="P144" s="301" t="s">
        <v>41</v>
      </c>
      <c r="Q144" s="301" t="s">
        <v>41</v>
      </c>
      <c r="R144" s="301" t="s">
        <v>41</v>
      </c>
      <c r="S144" s="301" t="s">
        <v>41</v>
      </c>
      <c r="T144" s="301" t="s">
        <v>41</v>
      </c>
    </row>
    <row r="145" spans="1:20" ht="15" hidden="1" customHeight="1" x14ac:dyDescent="0.35">
      <c r="A145" s="12"/>
      <c r="B145" s="31" t="s">
        <v>174</v>
      </c>
      <c r="E145" s="174">
        <v>0</v>
      </c>
      <c r="F145" s="175">
        <v>0</v>
      </c>
      <c r="G145" s="176">
        <f t="shared" si="14"/>
        <v>0</v>
      </c>
      <c r="H145" s="176">
        <f t="shared" si="14"/>
        <v>0</v>
      </c>
      <c r="I145" s="301" t="s">
        <v>41</v>
      </c>
      <c r="J145" s="301" t="s">
        <v>41</v>
      </c>
      <c r="K145" s="301" t="s">
        <v>41</v>
      </c>
      <c r="L145" s="301" t="s">
        <v>41</v>
      </c>
      <c r="M145" s="301" t="s">
        <v>41</v>
      </c>
      <c r="N145" s="301" t="s">
        <v>41</v>
      </c>
      <c r="O145" s="301" t="s">
        <v>41</v>
      </c>
      <c r="P145" s="301" t="s">
        <v>41</v>
      </c>
      <c r="Q145" s="301" t="s">
        <v>41</v>
      </c>
      <c r="R145" s="301" t="s">
        <v>41</v>
      </c>
      <c r="S145" s="301" t="s">
        <v>41</v>
      </c>
      <c r="T145" s="301" t="s">
        <v>41</v>
      </c>
    </row>
    <row r="146" spans="1:20" ht="15" customHeight="1" x14ac:dyDescent="0.35">
      <c r="A146" s="12"/>
      <c r="B146" s="30" t="s">
        <v>175</v>
      </c>
      <c r="C146" s="313"/>
      <c r="D146" s="280"/>
      <c r="E146" s="128" t="s">
        <v>41</v>
      </c>
      <c r="F146" s="14" t="s">
        <v>41</v>
      </c>
      <c r="G146" s="398"/>
      <c r="H146" s="136"/>
      <c r="I146" s="301" t="s">
        <v>41</v>
      </c>
      <c r="J146" s="301" t="s">
        <v>41</v>
      </c>
      <c r="K146" s="301" t="s">
        <v>41</v>
      </c>
      <c r="L146" s="301" t="s">
        <v>41</v>
      </c>
      <c r="M146" s="301" t="s">
        <v>41</v>
      </c>
      <c r="N146" s="301" t="s">
        <v>41</v>
      </c>
      <c r="O146" s="301" t="s">
        <v>41</v>
      </c>
      <c r="P146" s="301" t="s">
        <v>41</v>
      </c>
      <c r="Q146" s="301" t="s">
        <v>41</v>
      </c>
      <c r="R146" s="301" t="s">
        <v>41</v>
      </c>
      <c r="S146" s="301" t="s">
        <v>41</v>
      </c>
      <c r="T146" s="301" t="s">
        <v>41</v>
      </c>
    </row>
    <row r="147" spans="1:20" ht="15" customHeight="1" x14ac:dyDescent="0.35">
      <c r="A147" s="12"/>
      <c r="B147" s="64" t="s">
        <v>176</v>
      </c>
      <c r="C147" s="321"/>
      <c r="D147" s="290"/>
      <c r="E147" s="33">
        <v>34</v>
      </c>
      <c r="F147" s="14">
        <v>34</v>
      </c>
      <c r="G147" s="397">
        <f>SUM(I147:T147)</f>
        <v>13</v>
      </c>
      <c r="H147" s="38">
        <f>SUM(J147:U147)</f>
        <v>9</v>
      </c>
      <c r="I147" s="65">
        <v>4</v>
      </c>
      <c r="J147" s="66">
        <v>0</v>
      </c>
      <c r="K147" s="66">
        <v>1</v>
      </c>
      <c r="L147" s="66">
        <v>2</v>
      </c>
      <c r="M147" s="66">
        <v>3</v>
      </c>
      <c r="N147" s="409">
        <v>1</v>
      </c>
      <c r="O147" s="66">
        <v>0</v>
      </c>
      <c r="P147" s="138">
        <v>0</v>
      </c>
      <c r="Q147" s="66">
        <v>1</v>
      </c>
      <c r="R147" s="66">
        <v>1</v>
      </c>
      <c r="S147" s="66">
        <v>0</v>
      </c>
      <c r="T147" s="67">
        <v>0</v>
      </c>
    </row>
    <row r="148" spans="1:20" s="126" customFormat="1" ht="16" customHeight="1" x14ac:dyDescent="0.35">
      <c r="A148" s="125"/>
      <c r="B148" s="498" t="s">
        <v>103</v>
      </c>
      <c r="C148" s="499"/>
      <c r="D148" s="499"/>
      <c r="E148" s="499"/>
      <c r="F148" s="499"/>
      <c r="G148" s="500"/>
      <c r="H148" s="500"/>
      <c r="I148" s="500"/>
      <c r="J148" s="500"/>
      <c r="K148" s="500"/>
      <c r="L148" s="500"/>
      <c r="M148" s="500"/>
      <c r="N148" s="500"/>
      <c r="O148" s="500"/>
      <c r="P148" s="500"/>
      <c r="Q148" s="500"/>
      <c r="R148" s="500"/>
      <c r="S148" s="500"/>
      <c r="T148" s="501"/>
    </row>
    <row r="149" spans="1:20" s="126" customFormat="1" ht="16" customHeight="1" x14ac:dyDescent="0.35">
      <c r="A149" s="125"/>
      <c r="B149" s="502" t="s">
        <v>32</v>
      </c>
      <c r="C149" s="503"/>
      <c r="D149" s="503"/>
      <c r="E149" s="503"/>
      <c r="F149" s="503"/>
      <c r="G149" s="503"/>
      <c r="H149" s="503"/>
      <c r="I149" s="503"/>
      <c r="J149" s="503"/>
      <c r="K149" s="503"/>
      <c r="L149" s="503"/>
      <c r="M149" s="503"/>
      <c r="N149" s="503"/>
      <c r="O149" s="503"/>
      <c r="P149" s="503"/>
      <c r="Q149" s="503"/>
      <c r="R149" s="503"/>
      <c r="S149" s="503"/>
      <c r="T149" s="504"/>
    </row>
    <row r="150" spans="1:20" ht="15" customHeight="1" x14ac:dyDescent="0.35">
      <c r="A150" s="12"/>
      <c r="B150" s="32" t="s">
        <v>177</v>
      </c>
      <c r="C150" s="313"/>
      <c r="D150" s="280"/>
      <c r="E150" s="345">
        <v>183973.25</v>
      </c>
      <c r="F150" s="345">
        <v>181770.77</v>
      </c>
      <c r="G150" s="392">
        <f>SUM(G151:G156)</f>
        <v>1866475.51</v>
      </c>
      <c r="H150" s="68">
        <f>SUM(H151:H156)</f>
        <v>1791047.51</v>
      </c>
      <c r="I150" s="326">
        <v>76589</v>
      </c>
      <c r="J150" s="41">
        <v>79055</v>
      </c>
      <c r="K150" s="262">
        <f>SUM(K151:K152)</f>
        <v>82103.81</v>
      </c>
      <c r="L150" s="262">
        <f>SUM(L151:L152)</f>
        <v>90222.79</v>
      </c>
      <c r="M150" s="262">
        <v>85123.64</v>
      </c>
      <c r="N150" s="262">
        <f>SUM(N151:N156)</f>
        <v>98903.26</v>
      </c>
      <c r="O150" s="262">
        <v>132453.79</v>
      </c>
      <c r="P150" s="135">
        <v>89809.43</v>
      </c>
      <c r="Q150" s="135">
        <v>92803.77</v>
      </c>
      <c r="R150" s="135">
        <f>SUM(R151:R156)</f>
        <v>91233.02</v>
      </c>
      <c r="S150" s="135">
        <f>SUM(S151:S156)</f>
        <v>684121.13</v>
      </c>
      <c r="T150" s="259">
        <v>259261.27</v>
      </c>
    </row>
    <row r="151" spans="1:20" ht="15" customHeight="1" x14ac:dyDescent="0.35">
      <c r="A151" s="12"/>
      <c r="B151" s="194" t="s">
        <v>178</v>
      </c>
      <c r="C151" s="322"/>
      <c r="D151" s="280"/>
      <c r="E151" s="345">
        <v>1071</v>
      </c>
      <c r="F151" s="345">
        <v>677</v>
      </c>
      <c r="G151" s="392">
        <f t="shared" ref="G151:G156" si="15">SUM(I151:T151)</f>
        <v>5697.5300000000007</v>
      </c>
      <c r="H151" s="68">
        <f>SUM(I151:U151)</f>
        <v>5697.5300000000007</v>
      </c>
      <c r="I151" s="352">
        <v>1361</v>
      </c>
      <c r="J151" s="41">
        <v>0</v>
      </c>
      <c r="K151" s="41">
        <v>110</v>
      </c>
      <c r="L151" s="269">
        <v>85</v>
      </c>
      <c r="M151" s="41">
        <v>50</v>
      </c>
      <c r="N151" s="41">
        <v>60</v>
      </c>
      <c r="O151" s="41">
        <v>95</v>
      </c>
      <c r="P151" s="41">
        <v>160</v>
      </c>
      <c r="Q151" s="350">
        <v>120</v>
      </c>
      <c r="R151" s="41">
        <v>186</v>
      </c>
      <c r="S151" s="387">
        <v>1862.05</v>
      </c>
      <c r="T151" s="350">
        <f>1401.48+207</f>
        <v>1608.48</v>
      </c>
    </row>
    <row r="152" spans="1:20" ht="15" customHeight="1" x14ac:dyDescent="0.35">
      <c r="A152" s="12"/>
      <c r="B152" s="193" t="s">
        <v>179</v>
      </c>
      <c r="C152" s="314"/>
      <c r="D152" s="282"/>
      <c r="E152" s="345">
        <v>125574.99</v>
      </c>
      <c r="F152" s="345">
        <v>147496.13</v>
      </c>
      <c r="G152" s="399">
        <f t="shared" si="15"/>
        <v>1832857.88</v>
      </c>
      <c r="H152" s="69">
        <f>SUM(J152:U152)</f>
        <v>1757729.88</v>
      </c>
      <c r="I152" s="352">
        <v>75128</v>
      </c>
      <c r="J152" s="41">
        <v>79055</v>
      </c>
      <c r="K152" s="269">
        <v>81993.81</v>
      </c>
      <c r="L152" s="269">
        <v>90137.79</v>
      </c>
      <c r="M152" s="269">
        <v>84773.64</v>
      </c>
      <c r="N152" s="385">
        <v>89640.26</v>
      </c>
      <c r="O152" s="41">
        <v>128160.79</v>
      </c>
      <c r="P152" s="387">
        <v>88488.43</v>
      </c>
      <c r="Q152" s="350">
        <v>86219.27</v>
      </c>
      <c r="R152" s="350">
        <v>90942.02</v>
      </c>
      <c r="S152" s="350">
        <v>680766.08</v>
      </c>
      <c r="T152" s="350">
        <v>257552.79</v>
      </c>
    </row>
    <row r="153" spans="1:20" ht="27.65" customHeight="1" x14ac:dyDescent="0.35">
      <c r="A153" s="12"/>
      <c r="B153" s="193" t="s">
        <v>180</v>
      </c>
      <c r="C153" s="314"/>
      <c r="D153" s="282"/>
      <c r="E153" s="345">
        <v>5226.96</v>
      </c>
      <c r="F153" s="345">
        <v>2246.6799999999998</v>
      </c>
      <c r="G153" s="399">
        <f t="shared" si="15"/>
        <v>7189.1</v>
      </c>
      <c r="H153" s="69">
        <f>SUM(J153:U153)</f>
        <v>7189.1</v>
      </c>
      <c r="I153" s="352">
        <v>0</v>
      </c>
      <c r="J153" s="41">
        <v>0</v>
      </c>
      <c r="K153" s="41">
        <v>0</v>
      </c>
      <c r="L153" s="269">
        <v>4496.1000000000004</v>
      </c>
      <c r="M153" s="269">
        <v>200</v>
      </c>
      <c r="N153" s="41">
        <v>100</v>
      </c>
      <c r="O153" s="41">
        <v>200</v>
      </c>
      <c r="P153" s="269">
        <v>600</v>
      </c>
      <c r="Q153" s="350">
        <v>200</v>
      </c>
      <c r="R153" s="41">
        <v>0</v>
      </c>
      <c r="S153" s="350">
        <v>1393</v>
      </c>
      <c r="T153" s="350">
        <v>0</v>
      </c>
    </row>
    <row r="154" spans="1:20" ht="15" customHeight="1" x14ac:dyDescent="0.35">
      <c r="A154" s="12"/>
      <c r="B154" s="193" t="s">
        <v>181</v>
      </c>
      <c r="C154" s="314"/>
      <c r="D154" s="282"/>
      <c r="E154" s="345">
        <v>43761.8</v>
      </c>
      <c r="F154" s="345">
        <v>28958.059999999998</v>
      </c>
      <c r="G154" s="399">
        <f t="shared" si="15"/>
        <v>19726</v>
      </c>
      <c r="H154" s="69">
        <f>SUM(J154:U154)</f>
        <v>19726</v>
      </c>
      <c r="I154" s="138">
        <v>0</v>
      </c>
      <c r="J154" s="138">
        <v>0</v>
      </c>
      <c r="K154" s="138">
        <v>0</v>
      </c>
      <c r="L154" s="138">
        <v>0</v>
      </c>
      <c r="M154" s="138">
        <v>0</v>
      </c>
      <c r="N154" s="326">
        <v>9103</v>
      </c>
      <c r="O154" s="41">
        <v>3998</v>
      </c>
      <c r="P154" s="387">
        <v>461</v>
      </c>
      <c r="Q154" s="350">
        <v>6164</v>
      </c>
      <c r="R154" s="41">
        <v>0</v>
      </c>
      <c r="S154" s="41">
        <v>0</v>
      </c>
      <c r="T154" s="350">
        <v>0</v>
      </c>
    </row>
    <row r="155" spans="1:20" ht="15" customHeight="1" x14ac:dyDescent="0.35">
      <c r="A155" s="12"/>
      <c r="B155" s="193" t="s">
        <v>182</v>
      </c>
      <c r="C155" s="314"/>
      <c r="D155" s="282"/>
      <c r="E155" s="345">
        <v>8338.5</v>
      </c>
      <c r="F155" s="345">
        <v>2362.9</v>
      </c>
      <c r="G155" s="399">
        <f t="shared" si="15"/>
        <v>1005</v>
      </c>
      <c r="H155" s="69">
        <f>SUM(N155:U155)</f>
        <v>705</v>
      </c>
      <c r="I155" s="352">
        <v>100</v>
      </c>
      <c r="J155" s="352">
        <v>0</v>
      </c>
      <c r="K155" s="352">
        <v>0</v>
      </c>
      <c r="L155" s="269">
        <v>100</v>
      </c>
      <c r="M155" s="269">
        <v>100</v>
      </c>
      <c r="N155" s="385">
        <v>0</v>
      </c>
      <c r="O155" s="41">
        <v>200</v>
      </c>
      <c r="P155" s="41">
        <v>100</v>
      </c>
      <c r="Q155" s="41">
        <v>100</v>
      </c>
      <c r="R155" s="350">
        <v>105</v>
      </c>
      <c r="S155" s="350">
        <v>100</v>
      </c>
      <c r="T155" s="350">
        <v>100</v>
      </c>
    </row>
    <row r="156" spans="1:20" ht="15" customHeight="1" x14ac:dyDescent="0.35">
      <c r="A156" s="12"/>
      <c r="B156" s="192" t="s">
        <v>183</v>
      </c>
      <c r="C156" s="310"/>
      <c r="D156" s="281"/>
      <c r="E156" s="345">
        <v>0</v>
      </c>
      <c r="F156" s="345">
        <v>30</v>
      </c>
      <c r="G156" s="400">
        <f t="shared" si="15"/>
        <v>0</v>
      </c>
      <c r="H156" s="70">
        <f>SUM(J156:U156)</f>
        <v>0</v>
      </c>
      <c r="I156" s="352">
        <v>0</v>
      </c>
      <c r="J156" s="352">
        <v>0</v>
      </c>
      <c r="K156" s="352">
        <v>0</v>
      </c>
      <c r="L156" s="352">
        <v>0</v>
      </c>
      <c r="M156" s="352">
        <v>0</v>
      </c>
      <c r="N156" s="41">
        <v>0</v>
      </c>
      <c r="O156" s="41">
        <v>0</v>
      </c>
      <c r="P156" s="41">
        <v>0</v>
      </c>
      <c r="Q156" s="41">
        <v>0</v>
      </c>
      <c r="R156" s="41">
        <v>0</v>
      </c>
      <c r="S156" s="41">
        <v>0</v>
      </c>
      <c r="T156" s="41">
        <v>0</v>
      </c>
    </row>
    <row r="157" spans="1:20" s="126" customFormat="1" ht="16" customHeight="1" x14ac:dyDescent="0.35">
      <c r="A157" s="125"/>
      <c r="B157" s="484" t="s">
        <v>33</v>
      </c>
      <c r="C157" s="485"/>
      <c r="D157" s="485"/>
      <c r="E157" s="485"/>
      <c r="F157" s="485"/>
      <c r="G157" s="485"/>
      <c r="H157" s="485"/>
      <c r="I157" s="485"/>
      <c r="J157" s="485"/>
      <c r="K157" s="485"/>
      <c r="L157" s="485"/>
      <c r="M157" s="485"/>
      <c r="N157" s="485"/>
      <c r="O157" s="485"/>
      <c r="P157" s="485"/>
      <c r="Q157" s="485"/>
      <c r="R157" s="485"/>
      <c r="S157" s="485"/>
      <c r="T157" s="486"/>
    </row>
    <row r="158" spans="1:20" ht="15" customHeight="1" x14ac:dyDescent="0.35">
      <c r="A158" s="12"/>
      <c r="B158" s="32" t="s">
        <v>184</v>
      </c>
      <c r="C158" s="313"/>
      <c r="D158" s="280"/>
      <c r="E158" s="142">
        <v>26704</v>
      </c>
      <c r="F158" s="143">
        <v>29850</v>
      </c>
      <c r="G158" s="391">
        <f>SUM(I158:T158)</f>
        <v>62694</v>
      </c>
      <c r="H158" s="6">
        <f>SUM(I158:T158)</f>
        <v>62694</v>
      </c>
      <c r="I158" s="33">
        <f>SUM(I159:I160)</f>
        <v>4067</v>
      </c>
      <c r="J158" s="33">
        <f>SUM(J159:J160)</f>
        <v>5255</v>
      </c>
      <c r="K158" s="50">
        <v>4766</v>
      </c>
      <c r="L158" s="33">
        <f>L159+L160</f>
        <v>5414</v>
      </c>
      <c r="M158" s="50">
        <v>5263</v>
      </c>
      <c r="N158" s="46">
        <v>5348</v>
      </c>
      <c r="O158" s="33">
        <v>5023</v>
      </c>
      <c r="P158" s="33">
        <f>5322+P160</f>
        <v>5451</v>
      </c>
      <c r="Q158" s="50">
        <v>5088</v>
      </c>
      <c r="R158" s="50">
        <f>SUM(R159:R160)</f>
        <v>5832</v>
      </c>
      <c r="S158" s="50">
        <v>5591</v>
      </c>
      <c r="T158" s="50">
        <v>5596</v>
      </c>
    </row>
    <row r="159" spans="1:20" ht="15" customHeight="1" x14ac:dyDescent="0.35">
      <c r="A159" s="12"/>
      <c r="B159" s="194" t="s">
        <v>34</v>
      </c>
      <c r="C159" s="322"/>
      <c r="D159" s="280"/>
      <c r="E159" s="142">
        <v>26634</v>
      </c>
      <c r="F159" s="143">
        <v>29850</v>
      </c>
      <c r="G159" s="391">
        <f>SUM(J159:T159)</f>
        <v>56766</v>
      </c>
      <c r="H159" s="6">
        <f>SUM(I159:T159)</f>
        <v>60664</v>
      </c>
      <c r="I159" s="33">
        <v>3898</v>
      </c>
      <c r="J159" s="33">
        <v>4981</v>
      </c>
      <c r="K159" s="50">
        <v>4590</v>
      </c>
      <c r="L159" s="33">
        <v>5218</v>
      </c>
      <c r="M159" s="50">
        <v>5263</v>
      </c>
      <c r="N159" s="46">
        <v>5184</v>
      </c>
      <c r="O159" s="33">
        <f>5023-243</f>
        <v>4780</v>
      </c>
      <c r="P159" s="33">
        <v>5322</v>
      </c>
      <c r="Q159" s="50">
        <v>4950</v>
      </c>
      <c r="R159" s="50">
        <v>5679</v>
      </c>
      <c r="S159" s="50">
        <v>5403</v>
      </c>
      <c r="T159" s="50">
        <v>5396</v>
      </c>
    </row>
    <row r="160" spans="1:20" ht="15" customHeight="1" x14ac:dyDescent="0.35">
      <c r="A160" s="12"/>
      <c r="B160" s="193" t="s">
        <v>195</v>
      </c>
      <c r="C160" s="314"/>
      <c r="D160" s="282"/>
      <c r="E160" s="142">
        <v>70</v>
      </c>
      <c r="F160" s="143">
        <v>0</v>
      </c>
      <c r="G160" s="396">
        <f>SUM(J160:T160)</f>
        <v>1861</v>
      </c>
      <c r="H160" s="6">
        <f>SUM(I160:T160)</f>
        <v>2030</v>
      </c>
      <c r="I160" s="50">
        <v>169</v>
      </c>
      <c r="J160" s="33">
        <v>274</v>
      </c>
      <c r="K160" s="138">
        <v>176</v>
      </c>
      <c r="L160" s="50">
        <v>196</v>
      </c>
      <c r="M160" s="50">
        <v>0</v>
      </c>
      <c r="N160" s="46">
        <v>164</v>
      </c>
      <c r="O160" s="46">
        <v>243</v>
      </c>
      <c r="P160" s="46">
        <v>129</v>
      </c>
      <c r="Q160" s="50">
        <v>138</v>
      </c>
      <c r="R160" s="50">
        <v>153</v>
      </c>
      <c r="S160" s="50">
        <v>188</v>
      </c>
      <c r="T160" s="50">
        <v>200</v>
      </c>
    </row>
    <row r="161" spans="1:21" ht="15" customHeight="1" x14ac:dyDescent="0.35">
      <c r="A161" s="12"/>
      <c r="B161" s="30" t="s">
        <v>185</v>
      </c>
      <c r="C161" s="315"/>
      <c r="D161" s="282"/>
      <c r="E161" s="142">
        <v>162447</v>
      </c>
      <c r="F161" s="143">
        <v>153019</v>
      </c>
      <c r="G161" s="396">
        <f>SUM(I161:T161)</f>
        <v>186351</v>
      </c>
      <c r="H161" s="19">
        <f>SUM(I161:T161)</f>
        <v>186351</v>
      </c>
      <c r="I161" s="33">
        <v>15282</v>
      </c>
      <c r="J161" s="252">
        <v>19413</v>
      </c>
      <c r="K161" s="50">
        <v>15370</v>
      </c>
      <c r="L161" s="50">
        <f>L162+307</f>
        <v>13390</v>
      </c>
      <c r="M161" s="50">
        <v>13208</v>
      </c>
      <c r="N161" s="46">
        <v>14819</v>
      </c>
      <c r="O161" s="50">
        <v>14554</v>
      </c>
      <c r="P161" s="50">
        <v>16608</v>
      </c>
      <c r="Q161" s="50">
        <v>15166</v>
      </c>
      <c r="R161" s="50">
        <v>16376</v>
      </c>
      <c r="S161" s="50">
        <v>16670</v>
      </c>
      <c r="T161" s="390">
        <v>15495</v>
      </c>
    </row>
    <row r="162" spans="1:21" ht="15" customHeight="1" x14ac:dyDescent="0.35">
      <c r="A162" s="12"/>
      <c r="B162" s="193" t="s">
        <v>186</v>
      </c>
      <c r="C162" s="314"/>
      <c r="D162" s="282"/>
      <c r="E162" s="142">
        <v>160169</v>
      </c>
      <c r="F162" s="143">
        <v>151149</v>
      </c>
      <c r="G162" s="396">
        <f>SUM(I162:T162)</f>
        <v>181489</v>
      </c>
      <c r="H162" s="19">
        <f>SUM(I162:T162)</f>
        <v>181489</v>
      </c>
      <c r="I162" s="33">
        <v>14833</v>
      </c>
      <c r="J162" s="252">
        <v>18917</v>
      </c>
      <c r="K162" s="50">
        <v>14979</v>
      </c>
      <c r="L162" s="50">
        <v>13083</v>
      </c>
      <c r="M162" s="50">
        <v>13150</v>
      </c>
      <c r="N162" s="46">
        <v>14528</v>
      </c>
      <c r="O162" s="50">
        <v>14312</v>
      </c>
      <c r="P162" s="50">
        <v>16208</v>
      </c>
      <c r="Q162" s="50">
        <v>14838</v>
      </c>
      <c r="R162" s="50">
        <v>15885</v>
      </c>
      <c r="S162" s="50">
        <v>15612</v>
      </c>
      <c r="T162" s="390">
        <v>15144</v>
      </c>
    </row>
    <row r="163" spans="1:21" ht="15" customHeight="1" x14ac:dyDescent="0.35">
      <c r="A163" s="12"/>
      <c r="B163" s="192" t="s">
        <v>187</v>
      </c>
      <c r="C163" s="310"/>
      <c r="D163" s="281"/>
      <c r="E163" s="333">
        <v>0.98455833333333354</v>
      </c>
      <c r="F163" s="334">
        <v>0.98677500000000007</v>
      </c>
      <c r="G163" s="401">
        <f>AVERAGE(I163:T163)</f>
        <v>0.97317115096340301</v>
      </c>
      <c r="H163" s="336">
        <f>AVERAGE(I163:T163)</f>
        <v>0.97317115096340301</v>
      </c>
      <c r="I163" s="254">
        <v>0.97</v>
      </c>
      <c r="J163" s="255">
        <v>0.97399999999999998</v>
      </c>
      <c r="K163" s="255">
        <f>K162/K161</f>
        <v>0.97456083279115158</v>
      </c>
      <c r="L163" s="255">
        <f>L162/L161</f>
        <v>0.97707244212098576</v>
      </c>
      <c r="M163" s="253">
        <v>0.98050000000000004</v>
      </c>
      <c r="N163" s="253">
        <f t="shared" ref="N163:T163" si="16">N162/N161</f>
        <v>0.98036304743909841</v>
      </c>
      <c r="O163" s="253">
        <f t="shared" si="16"/>
        <v>0.98337226879208461</v>
      </c>
      <c r="P163" s="253">
        <f t="shared" si="16"/>
        <v>0.97591522157996147</v>
      </c>
      <c r="Q163" s="253">
        <f t="shared" si="16"/>
        <v>0.97837267572200981</v>
      </c>
      <c r="R163" s="253">
        <f t="shared" si="16"/>
        <v>0.97001709819247683</v>
      </c>
      <c r="S163" s="253">
        <f t="shared" si="16"/>
        <v>0.93653269346130774</v>
      </c>
      <c r="T163" s="253">
        <f t="shared" si="16"/>
        <v>0.9773475314617619</v>
      </c>
    </row>
    <row r="164" spans="1:21" s="126" customFormat="1" ht="16" customHeight="1" thickBot="1" x14ac:dyDescent="0.4">
      <c r="A164" s="125"/>
      <c r="B164" s="484" t="s">
        <v>188</v>
      </c>
      <c r="C164" s="485"/>
      <c r="D164" s="485"/>
      <c r="E164" s="485"/>
      <c r="F164" s="485"/>
      <c r="G164" s="485"/>
      <c r="H164" s="485"/>
      <c r="I164" s="485"/>
      <c r="J164" s="485"/>
      <c r="K164" s="485"/>
      <c r="L164" s="485"/>
      <c r="M164" s="485"/>
      <c r="N164" s="485"/>
      <c r="O164" s="485"/>
      <c r="P164" s="485"/>
      <c r="Q164" s="485"/>
      <c r="R164" s="485"/>
      <c r="S164" s="485"/>
      <c r="T164" s="486"/>
    </row>
    <row r="165" spans="1:21" ht="32.25" customHeight="1" thickBot="1" x14ac:dyDescent="0.4">
      <c r="A165" s="12"/>
      <c r="B165" s="389" t="s">
        <v>234</v>
      </c>
      <c r="C165" s="313" t="s">
        <v>235</v>
      </c>
      <c r="D165" s="280"/>
      <c r="E165" s="137">
        <v>5168</v>
      </c>
      <c r="F165" s="139">
        <v>2699</v>
      </c>
      <c r="G165" s="402">
        <f t="shared" ref="G165:G171" si="17">SUM(I165:T165)</f>
        <v>2717</v>
      </c>
      <c r="H165" s="25">
        <f t="shared" ref="H165:H171" si="18">SUM(I165:U165)</f>
        <v>2717</v>
      </c>
      <c r="I165" s="7">
        <v>208</v>
      </c>
      <c r="J165" s="7">
        <v>223</v>
      </c>
      <c r="K165" s="7">
        <v>266</v>
      </c>
      <c r="L165" s="384">
        <v>269</v>
      </c>
      <c r="M165" s="7">
        <v>458</v>
      </c>
      <c r="N165" s="7">
        <v>168</v>
      </c>
      <c r="O165" s="8">
        <v>276</v>
      </c>
      <c r="P165" s="8">
        <v>236</v>
      </c>
      <c r="Q165" s="8">
        <v>234</v>
      </c>
      <c r="R165" s="8">
        <v>214</v>
      </c>
      <c r="S165" s="8">
        <v>165</v>
      </c>
      <c r="T165" s="8"/>
    </row>
    <row r="166" spans="1:21" ht="23.5" customHeight="1" x14ac:dyDescent="0.35">
      <c r="A166" s="12"/>
      <c r="B166" s="191" t="s">
        <v>189</v>
      </c>
      <c r="C166" s="313" t="s">
        <v>235</v>
      </c>
      <c r="D166" s="283"/>
      <c r="E166" s="137">
        <v>3802</v>
      </c>
      <c r="F166" s="139">
        <v>336</v>
      </c>
      <c r="G166" s="403">
        <f t="shared" si="17"/>
        <v>147</v>
      </c>
      <c r="H166" s="25">
        <f t="shared" si="18"/>
        <v>147</v>
      </c>
      <c r="I166" s="384">
        <v>9</v>
      </c>
      <c r="J166" s="384">
        <v>3</v>
      </c>
      <c r="K166" s="384">
        <v>10</v>
      </c>
      <c r="L166" s="138">
        <v>3</v>
      </c>
      <c r="M166" s="384">
        <v>14</v>
      </c>
      <c r="N166" s="384">
        <v>40</v>
      </c>
      <c r="O166" s="351">
        <v>24</v>
      </c>
      <c r="P166" s="351">
        <v>39</v>
      </c>
      <c r="Q166" s="351">
        <v>5</v>
      </c>
      <c r="R166" s="351">
        <v>0</v>
      </c>
      <c r="S166" s="351">
        <v>0</v>
      </c>
      <c r="T166" s="351"/>
    </row>
    <row r="167" spans="1:21" ht="24.75" customHeight="1" x14ac:dyDescent="0.35">
      <c r="A167" s="12"/>
      <c r="B167" s="191" t="s">
        <v>238</v>
      </c>
      <c r="C167" s="313" t="s">
        <v>235</v>
      </c>
      <c r="D167" s="283"/>
      <c r="E167" s="137">
        <v>0</v>
      </c>
      <c r="F167" s="139">
        <v>0</v>
      </c>
      <c r="G167" s="403">
        <f t="shared" si="17"/>
        <v>18</v>
      </c>
      <c r="H167" s="25">
        <f t="shared" si="18"/>
        <v>18</v>
      </c>
      <c r="I167" s="7"/>
      <c r="J167" s="16"/>
      <c r="K167" s="16">
        <v>2</v>
      </c>
      <c r="L167" s="16">
        <v>0</v>
      </c>
      <c r="M167" s="16">
        <v>0</v>
      </c>
      <c r="N167" s="16">
        <v>0</v>
      </c>
      <c r="O167" s="16">
        <v>12</v>
      </c>
      <c r="P167" s="16">
        <v>4</v>
      </c>
      <c r="Q167" s="16">
        <v>0</v>
      </c>
      <c r="R167" s="16">
        <v>0</v>
      </c>
      <c r="S167" s="16">
        <v>0</v>
      </c>
      <c r="T167" s="16"/>
    </row>
    <row r="168" spans="1:21" ht="23.5" customHeight="1" x14ac:dyDescent="0.35">
      <c r="A168" s="12"/>
      <c r="B168" s="191" t="s">
        <v>236</v>
      </c>
      <c r="C168" s="313" t="s">
        <v>235</v>
      </c>
      <c r="D168" s="283"/>
      <c r="E168" s="137">
        <v>26</v>
      </c>
      <c r="F168" s="139">
        <v>139</v>
      </c>
      <c r="G168" s="403">
        <f t="shared" si="17"/>
        <v>136</v>
      </c>
      <c r="H168" s="25">
        <f t="shared" si="18"/>
        <v>136</v>
      </c>
      <c r="I168" s="7">
        <v>0</v>
      </c>
      <c r="J168" s="16">
        <v>12</v>
      </c>
      <c r="K168" s="16">
        <v>20</v>
      </c>
      <c r="L168" s="16">
        <v>14</v>
      </c>
      <c r="M168" s="16">
        <v>11</v>
      </c>
      <c r="N168" s="16">
        <v>1</v>
      </c>
      <c r="O168" s="16">
        <v>18</v>
      </c>
      <c r="P168" s="16">
        <v>7</v>
      </c>
      <c r="Q168" s="16">
        <v>20</v>
      </c>
      <c r="R168" s="16">
        <v>19</v>
      </c>
      <c r="S168" s="16">
        <v>14</v>
      </c>
    </row>
    <row r="169" spans="1:21" ht="23.5" customHeight="1" x14ac:dyDescent="0.35">
      <c r="A169" s="12"/>
      <c r="B169" s="191" t="s">
        <v>190</v>
      </c>
      <c r="C169" s="313" t="s">
        <v>235</v>
      </c>
      <c r="D169" s="283"/>
      <c r="E169" s="137">
        <v>463</v>
      </c>
      <c r="F169" s="139">
        <v>817</v>
      </c>
      <c r="G169" s="403">
        <f t="shared" si="17"/>
        <v>965</v>
      </c>
      <c r="H169" s="25">
        <f t="shared" si="18"/>
        <v>965</v>
      </c>
      <c r="I169" s="15">
        <v>1</v>
      </c>
      <c r="J169" s="16">
        <v>130</v>
      </c>
      <c r="K169" s="16">
        <v>44</v>
      </c>
      <c r="L169" s="16">
        <v>8</v>
      </c>
      <c r="M169" s="16">
        <v>285</v>
      </c>
      <c r="N169" s="16">
        <v>72</v>
      </c>
      <c r="O169" s="236">
        <v>112</v>
      </c>
      <c r="P169" s="16">
        <v>142</v>
      </c>
      <c r="Q169" s="16">
        <v>31</v>
      </c>
      <c r="R169" s="16">
        <v>58</v>
      </c>
      <c r="S169" s="16">
        <v>82</v>
      </c>
      <c r="T169" s="16"/>
    </row>
    <row r="170" spans="1:21" ht="23.5" customHeight="1" x14ac:dyDescent="0.35">
      <c r="A170" s="12"/>
      <c r="B170" s="191" t="s">
        <v>237</v>
      </c>
      <c r="C170" s="313" t="s">
        <v>235</v>
      </c>
      <c r="D170" s="282"/>
      <c r="E170" s="137">
        <v>807</v>
      </c>
      <c r="F170" s="139">
        <v>1000</v>
      </c>
      <c r="G170" s="403">
        <f t="shared" si="17"/>
        <v>1214</v>
      </c>
      <c r="H170" s="25">
        <f t="shared" si="18"/>
        <v>1214</v>
      </c>
      <c r="I170" s="15">
        <v>143</v>
      </c>
      <c r="J170" s="16">
        <v>78</v>
      </c>
      <c r="K170" s="16">
        <v>181</v>
      </c>
      <c r="L170" s="16">
        <v>234</v>
      </c>
      <c r="M170" s="16">
        <v>155</v>
      </c>
      <c r="N170" s="16">
        <v>95</v>
      </c>
      <c r="O170" s="16">
        <v>107</v>
      </c>
      <c r="P170" s="16">
        <v>29</v>
      </c>
      <c r="Q170" s="16">
        <v>88</v>
      </c>
      <c r="R170" s="16">
        <v>83</v>
      </c>
      <c r="S170" s="16">
        <v>21</v>
      </c>
      <c r="T170" s="16"/>
    </row>
    <row r="171" spans="1:21" ht="23.5" customHeight="1" x14ac:dyDescent="0.35">
      <c r="A171" s="12"/>
      <c r="B171" s="388" t="s">
        <v>191</v>
      </c>
      <c r="C171" s="313" t="s">
        <v>235</v>
      </c>
      <c r="D171" s="281"/>
      <c r="E171" s="137">
        <v>70</v>
      </c>
      <c r="F171" s="139">
        <v>471</v>
      </c>
      <c r="G171" s="404">
        <f t="shared" si="17"/>
        <v>293</v>
      </c>
      <c r="H171" s="25">
        <f t="shared" si="18"/>
        <v>293</v>
      </c>
      <c r="I171" s="20">
        <v>55</v>
      </c>
      <c r="J171" s="21">
        <v>0</v>
      </c>
      <c r="K171" s="21">
        <v>11</v>
      </c>
      <c r="L171" s="21">
        <v>10</v>
      </c>
      <c r="M171" s="21">
        <v>7</v>
      </c>
      <c r="N171" s="21">
        <v>0</v>
      </c>
      <c r="O171" s="21">
        <v>3</v>
      </c>
      <c r="P171" s="21">
        <v>15</v>
      </c>
      <c r="Q171" s="21">
        <v>90</v>
      </c>
      <c r="R171" s="21">
        <v>54</v>
      </c>
      <c r="S171" s="21">
        <v>48</v>
      </c>
      <c r="T171" s="21"/>
    </row>
    <row r="172" spans="1:21" s="126" customFormat="1" ht="16" customHeight="1" x14ac:dyDescent="0.35">
      <c r="A172" s="125"/>
      <c r="B172" s="478" t="s">
        <v>104</v>
      </c>
      <c r="C172" s="479"/>
      <c r="D172" s="479"/>
      <c r="E172" s="479"/>
      <c r="F172" s="479"/>
      <c r="G172" s="479"/>
      <c r="H172" s="479"/>
      <c r="I172" s="479"/>
      <c r="J172" s="479"/>
      <c r="K172" s="479"/>
      <c r="L172" s="479"/>
      <c r="M172" s="479"/>
      <c r="N172" s="479"/>
      <c r="O172" s="479"/>
      <c r="P172" s="479"/>
      <c r="Q172" s="479"/>
      <c r="R172" s="479"/>
      <c r="S172" s="479"/>
      <c r="T172" s="480"/>
    </row>
    <row r="173" spans="1:21" ht="15" customHeight="1" x14ac:dyDescent="0.35">
      <c r="A173" s="12"/>
      <c r="B173" s="32" t="s">
        <v>110</v>
      </c>
      <c r="E173" s="326">
        <v>16799137.490000002</v>
      </c>
      <c r="F173" s="326">
        <v>15946063.390000001</v>
      </c>
      <c r="G173" s="392">
        <f>SUM(I173:T173)</f>
        <v>15420585.520000001</v>
      </c>
      <c r="H173" s="68">
        <f>SUM(I173:U173)</f>
        <v>15420585.520000001</v>
      </c>
      <c r="I173" s="435">
        <v>1264943.73</v>
      </c>
      <c r="J173" s="347">
        <v>1176736.17</v>
      </c>
      <c r="K173" s="383">
        <v>1373193.73</v>
      </c>
      <c r="L173" s="348">
        <v>1262669.32</v>
      </c>
      <c r="M173" s="278">
        <v>1120294.5900000001</v>
      </c>
      <c r="N173" s="386">
        <v>1358849.61</v>
      </c>
      <c r="O173" s="268">
        <v>1203292.67</v>
      </c>
      <c r="P173" s="268">
        <v>1197903.68</v>
      </c>
      <c r="Q173" s="71">
        <v>1538565.77</v>
      </c>
      <c r="R173" s="72">
        <v>1249143.1399999999</v>
      </c>
      <c r="S173" s="73">
        <v>1343983.96</v>
      </c>
      <c r="T173" s="74">
        <v>1331009.1499999999</v>
      </c>
    </row>
    <row r="174" spans="1:21" s="126" customFormat="1" ht="16" customHeight="1" x14ac:dyDescent="0.35">
      <c r="A174" s="125"/>
      <c r="B174" s="487" t="s">
        <v>105</v>
      </c>
      <c r="C174" s="488"/>
      <c r="D174" s="488"/>
      <c r="E174" s="488"/>
      <c r="F174" s="488"/>
      <c r="G174" s="488"/>
      <c r="H174" s="488"/>
      <c r="I174" s="488"/>
      <c r="J174" s="488"/>
      <c r="K174" s="488"/>
      <c r="L174" s="488"/>
      <c r="M174" s="488"/>
      <c r="N174" s="488"/>
      <c r="O174" s="488"/>
      <c r="P174" s="488"/>
      <c r="Q174" s="488"/>
      <c r="R174" s="488"/>
      <c r="S174" s="488"/>
      <c r="T174" s="489"/>
    </row>
    <row r="175" spans="1:21" ht="20.25" customHeight="1" x14ac:dyDescent="0.35">
      <c r="A175" s="12"/>
      <c r="B175" s="32" t="s">
        <v>192</v>
      </c>
      <c r="E175" s="144"/>
      <c r="F175" s="140"/>
      <c r="G175" s="3"/>
      <c r="H175" s="3"/>
      <c r="I175" s="138">
        <v>125155</v>
      </c>
      <c r="J175" s="133">
        <v>125137</v>
      </c>
      <c r="K175" s="133">
        <v>125218</v>
      </c>
      <c r="L175" s="133">
        <v>125123</v>
      </c>
      <c r="M175" s="133">
        <v>125263</v>
      </c>
      <c r="N175" s="27">
        <v>125319</v>
      </c>
      <c r="O175" s="133">
        <v>125382</v>
      </c>
      <c r="P175" s="133">
        <v>125670</v>
      </c>
      <c r="Q175" s="133">
        <v>125762</v>
      </c>
      <c r="R175" s="133">
        <v>125932</v>
      </c>
      <c r="S175" s="134">
        <v>126086</v>
      </c>
      <c r="T175" s="338">
        <v>126258</v>
      </c>
    </row>
    <row r="176" spans="1:21" ht="23.25" customHeight="1" x14ac:dyDescent="0.35">
      <c r="A176" s="182"/>
      <c r="B176" s="183" t="s">
        <v>221</v>
      </c>
      <c r="C176" s="323"/>
      <c r="D176" s="291"/>
      <c r="E176" s="145"/>
      <c r="F176" s="141"/>
      <c r="G176" s="146"/>
      <c r="H176" s="146"/>
      <c r="I176" s="406">
        <f>I175/U176</f>
        <v>0.38376271747729407</v>
      </c>
      <c r="J176" s="406">
        <f>J175/U176</f>
        <v>0.38370752408578279</v>
      </c>
      <c r="K176" s="406">
        <f>K175/U176</f>
        <v>0.38395589434758343</v>
      </c>
      <c r="L176" s="406">
        <f>L175/U176</f>
        <v>0.38366459589238516</v>
      </c>
      <c r="M176" s="406">
        <f>M175/U176</f>
        <v>0.38409387782636156</v>
      </c>
      <c r="N176" s="406">
        <f>N175/U176</f>
        <v>0.38426559059995219</v>
      </c>
      <c r="O176" s="406">
        <f>O175/U176</f>
        <v>0.38445876747024155</v>
      </c>
      <c r="P176" s="406">
        <f>P175/U176</f>
        <v>0.38534186173442164</v>
      </c>
      <c r="Q176" s="406">
        <f>Q175/U176</f>
        <v>0.38562396129103477</v>
      </c>
      <c r="R176" s="406">
        <f>R175/U176</f>
        <v>0.38614523221086328</v>
      </c>
      <c r="S176" s="406">
        <f>S175/U176</f>
        <v>0.38661744233823736</v>
      </c>
      <c r="T176" s="406">
        <f>T175/U176</f>
        <v>0.38714484585712272</v>
      </c>
      <c r="U176" s="339">
        <v>326126</v>
      </c>
    </row>
    <row r="178" spans="2:20" ht="15" hidden="1" customHeight="1" x14ac:dyDescent="0.35">
      <c r="B178" s="75" t="s">
        <v>63</v>
      </c>
      <c r="C178" s="76"/>
      <c r="D178" s="292"/>
      <c r="E178" s="76"/>
      <c r="F178" s="76"/>
      <c r="G178" s="76"/>
      <c r="H178" s="76"/>
      <c r="I178" s="76"/>
      <c r="J178" s="76"/>
      <c r="K178" s="76"/>
      <c r="L178" s="76"/>
      <c r="M178" s="76"/>
      <c r="N178" s="367"/>
      <c r="O178" s="76"/>
      <c r="P178" s="76"/>
      <c r="Q178" s="76"/>
      <c r="R178" s="76"/>
      <c r="S178" s="76"/>
      <c r="T178" s="77"/>
    </row>
    <row r="179" spans="2:20" ht="12.5" hidden="1" x14ac:dyDescent="0.35">
      <c r="B179" s="184" t="s">
        <v>45</v>
      </c>
      <c r="C179" s="185"/>
      <c r="D179" s="293"/>
      <c r="E179" s="185"/>
      <c r="F179" s="185"/>
      <c r="G179" s="185"/>
      <c r="H179" s="185"/>
      <c r="I179" s="185"/>
      <c r="J179" s="185"/>
      <c r="K179" s="185"/>
      <c r="L179" s="185"/>
      <c r="M179" s="185"/>
      <c r="N179" s="368"/>
      <c r="O179" s="185"/>
      <c r="P179" s="185"/>
      <c r="Q179" s="185"/>
      <c r="R179" s="185"/>
      <c r="S179" s="185"/>
      <c r="T179" s="186"/>
    </row>
    <row r="180" spans="2:20" ht="15" hidden="1" customHeight="1" x14ac:dyDescent="0.35">
      <c r="B180" s="187" t="s">
        <v>52</v>
      </c>
      <c r="C180" s="324"/>
      <c r="D180" s="294"/>
      <c r="E180" s="188"/>
      <c r="F180" s="188"/>
      <c r="G180" s="188"/>
      <c r="H180" s="188"/>
      <c r="I180" s="188"/>
      <c r="J180" s="188"/>
      <c r="K180" s="188"/>
      <c r="L180" s="188"/>
      <c r="M180" s="188"/>
      <c r="N180" s="369"/>
      <c r="O180" s="188"/>
      <c r="P180" s="188"/>
      <c r="Q180" s="188"/>
      <c r="R180" s="188"/>
      <c r="S180" s="188"/>
      <c r="T180" s="189"/>
    </row>
    <row r="181" spans="2:20" ht="15" hidden="1" customHeight="1" x14ac:dyDescent="0.35">
      <c r="B181" s="5" t="s">
        <v>0</v>
      </c>
      <c r="C181" s="181"/>
      <c r="E181" s="78"/>
      <c r="F181" s="79" t="s">
        <v>70</v>
      </c>
      <c r="G181" s="80" t="e">
        <f>AVERAGE(I181:T181)</f>
        <v>#DIV/0!</v>
      </c>
      <c r="H181" s="80" t="e">
        <f>AVERAGE(J181:U181)</f>
        <v>#DIV/0!</v>
      </c>
      <c r="I181" s="7"/>
      <c r="J181" s="8"/>
      <c r="K181" s="8"/>
      <c r="L181" s="8"/>
      <c r="M181" s="8"/>
      <c r="N181" s="268"/>
      <c r="O181" s="8"/>
      <c r="P181" s="81"/>
      <c r="Q181" s="81"/>
      <c r="R181" s="81"/>
      <c r="S181" s="81"/>
      <c r="T181" s="82"/>
    </row>
    <row r="182" spans="2:20" ht="15" hidden="1" customHeight="1" x14ac:dyDescent="0.35">
      <c r="B182" s="18" t="s">
        <v>48</v>
      </c>
      <c r="C182" s="181"/>
      <c r="E182" s="78"/>
      <c r="F182" s="83" t="s">
        <v>71</v>
      </c>
      <c r="G182" s="84" t="e">
        <f>AVERAGE(I182:T182)</f>
        <v>#DIV/0!</v>
      </c>
      <c r="H182" s="84" t="e">
        <f>AVERAGE(J182:U182)</f>
        <v>#DIV/0!</v>
      </c>
      <c r="I182" s="85"/>
      <c r="J182" s="85"/>
      <c r="K182" s="85"/>
      <c r="L182" s="85"/>
      <c r="M182" s="85"/>
      <c r="N182" s="370"/>
      <c r="O182" s="85"/>
      <c r="P182" s="86"/>
      <c r="Q182" s="86"/>
      <c r="R182" s="86"/>
      <c r="S182" s="86"/>
      <c r="T182" s="87"/>
    </row>
    <row r="183" spans="2:20" ht="15" hidden="1" customHeight="1" x14ac:dyDescent="0.35">
      <c r="B183" s="18" t="s">
        <v>51</v>
      </c>
      <c r="C183" s="181"/>
      <c r="E183" s="78"/>
      <c r="F183" s="83" t="s">
        <v>72</v>
      </c>
      <c r="G183" s="84" t="e">
        <f t="shared" ref="G183:T183" si="19">((ROUND(G181/G182,0)&amp;" : "&amp;"1"))</f>
        <v>#DIV/0!</v>
      </c>
      <c r="H183" s="84" t="e">
        <f t="shared" si="19"/>
        <v>#DIV/0!</v>
      </c>
      <c r="I183" s="85" t="e">
        <f t="shared" si="19"/>
        <v>#DIV/0!</v>
      </c>
      <c r="J183" s="85" t="e">
        <f t="shared" si="19"/>
        <v>#DIV/0!</v>
      </c>
      <c r="K183" s="85" t="e">
        <f t="shared" si="19"/>
        <v>#DIV/0!</v>
      </c>
      <c r="L183" s="85" t="e">
        <f t="shared" si="19"/>
        <v>#DIV/0!</v>
      </c>
      <c r="M183" s="85" t="e">
        <f t="shared" si="19"/>
        <v>#DIV/0!</v>
      </c>
      <c r="N183" s="370" t="e">
        <f t="shared" si="19"/>
        <v>#DIV/0!</v>
      </c>
      <c r="O183" s="85" t="e">
        <f t="shared" si="19"/>
        <v>#DIV/0!</v>
      </c>
      <c r="P183" s="85" t="e">
        <f t="shared" si="19"/>
        <v>#DIV/0!</v>
      </c>
      <c r="Q183" s="85" t="e">
        <f t="shared" si="19"/>
        <v>#DIV/0!</v>
      </c>
      <c r="R183" s="85" t="e">
        <f t="shared" si="19"/>
        <v>#DIV/0!</v>
      </c>
      <c r="S183" s="85" t="e">
        <f t="shared" si="19"/>
        <v>#DIV/0!</v>
      </c>
      <c r="T183" s="87" t="e">
        <f t="shared" si="19"/>
        <v>#DIV/0!</v>
      </c>
    </row>
    <row r="184" spans="2:20" ht="15" hidden="1" customHeight="1" x14ac:dyDescent="0.35">
      <c r="B184" s="10" t="s">
        <v>50</v>
      </c>
      <c r="C184" s="181"/>
      <c r="E184" s="78"/>
      <c r="F184" s="88" t="s">
        <v>55</v>
      </c>
      <c r="G184" s="89" t="s">
        <v>55</v>
      </c>
      <c r="H184" s="89" t="s">
        <v>55</v>
      </c>
      <c r="I184" s="90" t="s">
        <v>55</v>
      </c>
      <c r="J184" s="90" t="s">
        <v>55</v>
      </c>
      <c r="K184" s="90" t="s">
        <v>55</v>
      </c>
      <c r="L184" s="90" t="s">
        <v>55</v>
      </c>
      <c r="M184" s="90" t="s">
        <v>55</v>
      </c>
      <c r="N184" s="371" t="s">
        <v>55</v>
      </c>
      <c r="O184" s="90" t="s">
        <v>55</v>
      </c>
      <c r="P184" s="90" t="s">
        <v>55</v>
      </c>
      <c r="Q184" s="90" t="s">
        <v>55</v>
      </c>
      <c r="R184" s="90" t="s">
        <v>55</v>
      </c>
      <c r="S184" s="90" t="s">
        <v>55</v>
      </c>
      <c r="T184" s="91" t="s">
        <v>55</v>
      </c>
    </row>
    <row r="185" spans="2:20" ht="15" hidden="1" customHeight="1" x14ac:dyDescent="0.35">
      <c r="B185" s="187" t="s">
        <v>61</v>
      </c>
      <c r="C185" s="324"/>
      <c r="D185" s="294"/>
      <c r="E185" s="92"/>
      <c r="F185" s="93"/>
      <c r="G185" s="93"/>
      <c r="H185" s="93"/>
      <c r="I185" s="93"/>
      <c r="J185" s="93"/>
      <c r="K185" s="93"/>
      <c r="L185" s="93"/>
      <c r="M185" s="93"/>
      <c r="N185" s="372"/>
      <c r="O185" s="93"/>
      <c r="P185" s="93"/>
      <c r="Q185" s="93"/>
      <c r="R185" s="93"/>
      <c r="S185" s="93"/>
      <c r="T185" s="94"/>
    </row>
    <row r="186" spans="2:20" ht="15" hidden="1" customHeight="1" x14ac:dyDescent="0.35">
      <c r="B186" s="5" t="s">
        <v>49</v>
      </c>
      <c r="C186" s="181"/>
      <c r="E186" s="78"/>
      <c r="F186" s="79" t="s">
        <v>73</v>
      </c>
      <c r="G186" s="95" t="e">
        <f>AVERAGE(I186:T186)</f>
        <v>#DIV/0!</v>
      </c>
      <c r="H186" s="95" t="e">
        <f>AVERAGE(J186:U186)</f>
        <v>#DIV/0!</v>
      </c>
      <c r="I186" s="96"/>
      <c r="J186" s="96"/>
      <c r="K186" s="96"/>
      <c r="L186" s="96"/>
      <c r="M186" s="96"/>
      <c r="N186" s="373"/>
      <c r="O186" s="96"/>
      <c r="P186" s="96"/>
      <c r="Q186" s="96"/>
      <c r="R186" s="81"/>
      <c r="S186" s="81"/>
      <c r="T186" s="82"/>
    </row>
    <row r="187" spans="2:20" ht="15" hidden="1" customHeight="1" x14ac:dyDescent="0.35">
      <c r="B187" s="18" t="s">
        <v>48</v>
      </c>
      <c r="C187" s="181"/>
      <c r="E187" s="78"/>
      <c r="F187" s="83" t="s">
        <v>74</v>
      </c>
      <c r="G187" s="97" t="e">
        <f>AVERAGE(I187:T187)</f>
        <v>#DIV/0!</v>
      </c>
      <c r="H187" s="97" t="e">
        <f>AVERAGE(J187:U187)</f>
        <v>#DIV/0!</v>
      </c>
      <c r="I187" s="98"/>
      <c r="J187" s="98"/>
      <c r="K187" s="98"/>
      <c r="L187" s="98"/>
      <c r="M187" s="98"/>
      <c r="N187" s="374"/>
      <c r="O187" s="98"/>
      <c r="P187" s="98"/>
      <c r="Q187" s="98"/>
      <c r="R187" s="86"/>
      <c r="S187" s="86"/>
      <c r="T187" s="87"/>
    </row>
    <row r="188" spans="2:20" ht="15" hidden="1" customHeight="1" x14ac:dyDescent="0.35">
      <c r="B188" s="18" t="s">
        <v>51</v>
      </c>
      <c r="C188" s="181"/>
      <c r="E188" s="78"/>
      <c r="F188" s="83" t="s">
        <v>75</v>
      </c>
      <c r="G188" s="97" t="e">
        <f>((ROUND(G186/G187,0)&amp;" : "&amp;"1"))</f>
        <v>#DIV/0!</v>
      </c>
      <c r="H188" s="97" t="e">
        <f>((ROUND(H186/H187,0)&amp;" : "&amp;"1"))</f>
        <v>#DIV/0!</v>
      </c>
      <c r="I188" s="98" t="s">
        <v>39</v>
      </c>
      <c r="J188" s="98" t="s">
        <v>39</v>
      </c>
      <c r="K188" s="86" t="e">
        <f t="shared" ref="K188:T188" si="20">((ROUND(K186/K187,0)&amp;" : "&amp;"1"))</f>
        <v>#DIV/0!</v>
      </c>
      <c r="L188" s="86" t="e">
        <f t="shared" si="20"/>
        <v>#DIV/0!</v>
      </c>
      <c r="M188" s="86" t="e">
        <f t="shared" si="20"/>
        <v>#DIV/0!</v>
      </c>
      <c r="N188" s="358" t="e">
        <f t="shared" si="20"/>
        <v>#DIV/0!</v>
      </c>
      <c r="O188" s="86" t="e">
        <f t="shared" si="20"/>
        <v>#DIV/0!</v>
      </c>
      <c r="P188" s="86" t="e">
        <f t="shared" si="20"/>
        <v>#DIV/0!</v>
      </c>
      <c r="Q188" s="86" t="e">
        <f t="shared" si="20"/>
        <v>#DIV/0!</v>
      </c>
      <c r="R188" s="86" t="e">
        <f t="shared" si="20"/>
        <v>#DIV/0!</v>
      </c>
      <c r="S188" s="86" t="e">
        <f t="shared" si="20"/>
        <v>#DIV/0!</v>
      </c>
      <c r="T188" s="87" t="e">
        <f t="shared" si="20"/>
        <v>#DIV/0!</v>
      </c>
    </row>
    <row r="189" spans="2:20" ht="15" hidden="1" customHeight="1" x14ac:dyDescent="0.35">
      <c r="B189" s="10" t="s">
        <v>50</v>
      </c>
      <c r="C189" s="181"/>
      <c r="E189" s="78"/>
      <c r="F189" s="88" t="s">
        <v>56</v>
      </c>
      <c r="G189" s="89" t="s">
        <v>56</v>
      </c>
      <c r="H189" s="89" t="s">
        <v>56</v>
      </c>
      <c r="I189" s="90" t="s">
        <v>56</v>
      </c>
      <c r="J189" s="90" t="s">
        <v>56</v>
      </c>
      <c r="K189" s="99" t="s">
        <v>56</v>
      </c>
      <c r="L189" s="99" t="s">
        <v>56</v>
      </c>
      <c r="M189" s="99" t="s">
        <v>56</v>
      </c>
      <c r="N189" s="41" t="s">
        <v>56</v>
      </c>
      <c r="O189" s="99" t="s">
        <v>56</v>
      </c>
      <c r="P189" s="99" t="s">
        <v>56</v>
      </c>
      <c r="Q189" s="99" t="s">
        <v>56</v>
      </c>
      <c r="R189" s="99" t="s">
        <v>56</v>
      </c>
      <c r="S189" s="99" t="s">
        <v>56</v>
      </c>
      <c r="T189" s="91" t="s">
        <v>56</v>
      </c>
    </row>
    <row r="190" spans="2:20" ht="15" hidden="1" customHeight="1" x14ac:dyDescent="0.35">
      <c r="B190" s="187" t="s">
        <v>53</v>
      </c>
      <c r="C190" s="324"/>
      <c r="D190" s="294"/>
      <c r="E190" s="92"/>
      <c r="F190" s="93"/>
      <c r="G190" s="93"/>
      <c r="H190" s="93"/>
      <c r="I190" s="93"/>
      <c r="J190" s="93"/>
      <c r="K190" s="93"/>
      <c r="L190" s="93"/>
      <c r="M190" s="93"/>
      <c r="N190" s="372"/>
      <c r="O190" s="93"/>
      <c r="P190" s="93"/>
      <c r="Q190" s="93"/>
      <c r="R190" s="93"/>
      <c r="S190" s="93"/>
      <c r="T190" s="94"/>
    </row>
    <row r="191" spans="2:20" ht="15" hidden="1" customHeight="1" x14ac:dyDescent="0.35">
      <c r="B191" s="5" t="s">
        <v>49</v>
      </c>
      <c r="C191" s="181"/>
      <c r="E191" s="78"/>
      <c r="F191" s="79" t="s">
        <v>76</v>
      </c>
      <c r="G191" s="80" t="e">
        <f>AVERAGE(I191:T191)</f>
        <v>#DIV/0!</v>
      </c>
      <c r="H191" s="80" t="e">
        <f>AVERAGE(J191:U191)</f>
        <v>#DIV/0!</v>
      </c>
      <c r="I191" s="100"/>
      <c r="J191" s="8"/>
      <c r="K191" s="8"/>
      <c r="L191" s="8"/>
      <c r="M191" s="8"/>
      <c r="N191" s="268"/>
      <c r="O191" s="8"/>
      <c r="P191" s="81"/>
      <c r="Q191" s="81"/>
      <c r="R191" s="81"/>
      <c r="S191" s="81"/>
      <c r="T191" s="82"/>
    </row>
    <row r="192" spans="2:20" ht="15" hidden="1" customHeight="1" x14ac:dyDescent="0.35">
      <c r="B192" s="18" t="s">
        <v>48</v>
      </c>
      <c r="C192" s="181"/>
      <c r="E192" s="78"/>
      <c r="F192" s="83" t="s">
        <v>77</v>
      </c>
      <c r="G192" s="84" t="e">
        <f>AVERAGE(I192:T192)</f>
        <v>#DIV/0!</v>
      </c>
      <c r="H192" s="84" t="e">
        <f>AVERAGE(J192:U192)</f>
        <v>#DIV/0!</v>
      </c>
      <c r="I192" s="101"/>
      <c r="J192" s="16"/>
      <c r="K192" s="86"/>
      <c r="L192" s="16"/>
      <c r="M192" s="16"/>
      <c r="N192" s="358"/>
      <c r="O192" s="16"/>
      <c r="P192" s="86"/>
      <c r="Q192" s="86"/>
      <c r="R192" s="86"/>
      <c r="S192" s="86"/>
      <c r="T192" s="87"/>
    </row>
    <row r="193" spans="2:20" ht="15" hidden="1" customHeight="1" x14ac:dyDescent="0.35">
      <c r="B193" s="18" t="s">
        <v>51</v>
      </c>
      <c r="C193" s="181"/>
      <c r="E193" s="78"/>
      <c r="F193" s="83" t="s">
        <v>78</v>
      </c>
      <c r="G193" s="84" t="e">
        <f t="shared" ref="G193:T193" si="21">((ROUND(G191/G192,0)&amp;" : "&amp;"1"))</f>
        <v>#DIV/0!</v>
      </c>
      <c r="H193" s="84" t="e">
        <f t="shared" si="21"/>
        <v>#DIV/0!</v>
      </c>
      <c r="I193" s="85" t="e">
        <f t="shared" si="21"/>
        <v>#DIV/0!</v>
      </c>
      <c r="J193" s="85" t="e">
        <f t="shared" si="21"/>
        <v>#DIV/0!</v>
      </c>
      <c r="K193" s="85" t="e">
        <f t="shared" si="21"/>
        <v>#DIV/0!</v>
      </c>
      <c r="L193" s="85" t="e">
        <f t="shared" si="21"/>
        <v>#DIV/0!</v>
      </c>
      <c r="M193" s="85" t="e">
        <f t="shared" si="21"/>
        <v>#DIV/0!</v>
      </c>
      <c r="N193" s="370" t="e">
        <f t="shared" si="21"/>
        <v>#DIV/0!</v>
      </c>
      <c r="O193" s="85" t="e">
        <f t="shared" si="21"/>
        <v>#DIV/0!</v>
      </c>
      <c r="P193" s="85" t="e">
        <f t="shared" si="21"/>
        <v>#DIV/0!</v>
      </c>
      <c r="Q193" s="85" t="e">
        <f t="shared" si="21"/>
        <v>#DIV/0!</v>
      </c>
      <c r="R193" s="85" t="e">
        <f t="shared" si="21"/>
        <v>#DIV/0!</v>
      </c>
      <c r="S193" s="85" t="e">
        <f t="shared" si="21"/>
        <v>#DIV/0!</v>
      </c>
      <c r="T193" s="102" t="e">
        <f t="shared" si="21"/>
        <v>#DIV/0!</v>
      </c>
    </row>
    <row r="194" spans="2:20" ht="15" hidden="1" customHeight="1" x14ac:dyDescent="0.35">
      <c r="B194" s="10" t="s">
        <v>50</v>
      </c>
      <c r="C194" s="181"/>
      <c r="E194" s="78"/>
      <c r="F194" s="88" t="s">
        <v>56</v>
      </c>
      <c r="G194" s="89" t="s">
        <v>56</v>
      </c>
      <c r="H194" s="89" t="s">
        <v>56</v>
      </c>
      <c r="I194" s="90" t="s">
        <v>56</v>
      </c>
      <c r="J194" s="90" t="s">
        <v>56</v>
      </c>
      <c r="K194" s="90" t="s">
        <v>56</v>
      </c>
      <c r="L194" s="90" t="s">
        <v>56</v>
      </c>
      <c r="M194" s="90" t="s">
        <v>56</v>
      </c>
      <c r="N194" s="371" t="s">
        <v>56</v>
      </c>
      <c r="O194" s="90" t="s">
        <v>56</v>
      </c>
      <c r="P194" s="90" t="s">
        <v>56</v>
      </c>
      <c r="Q194" s="90" t="s">
        <v>56</v>
      </c>
      <c r="R194" s="90" t="s">
        <v>56</v>
      </c>
      <c r="S194" s="90" t="s">
        <v>56</v>
      </c>
      <c r="T194" s="103" t="s">
        <v>56</v>
      </c>
    </row>
    <row r="195" spans="2:20" ht="12.5" hidden="1" x14ac:dyDescent="0.35">
      <c r="B195" s="184" t="s">
        <v>54</v>
      </c>
      <c r="C195" s="185"/>
      <c r="D195" s="293"/>
      <c r="E195" s="104"/>
      <c r="F195" s="105"/>
      <c r="G195" s="105"/>
      <c r="H195" s="105"/>
      <c r="I195" s="105"/>
      <c r="J195" s="105"/>
      <c r="K195" s="105"/>
      <c r="L195" s="105"/>
      <c r="M195" s="105"/>
      <c r="N195" s="375"/>
      <c r="O195" s="105"/>
      <c r="P195" s="105"/>
      <c r="Q195" s="105"/>
      <c r="R195" s="105"/>
      <c r="S195" s="105"/>
      <c r="T195" s="106"/>
    </row>
    <row r="196" spans="2:20" ht="15" hidden="1" customHeight="1" x14ac:dyDescent="0.35">
      <c r="B196" s="187" t="s">
        <v>46</v>
      </c>
      <c r="C196" s="324"/>
      <c r="D196" s="294"/>
      <c r="E196" s="92"/>
      <c r="F196" s="93"/>
      <c r="G196" s="93"/>
      <c r="H196" s="93"/>
      <c r="I196" s="93"/>
      <c r="J196" s="93"/>
      <c r="K196" s="93"/>
      <c r="L196" s="93"/>
      <c r="M196" s="93"/>
      <c r="N196" s="372"/>
      <c r="O196" s="93"/>
      <c r="P196" s="93"/>
      <c r="Q196" s="93"/>
      <c r="R196" s="93"/>
      <c r="S196" s="93"/>
      <c r="T196" s="94"/>
    </row>
    <row r="197" spans="2:20" ht="15" hidden="1" customHeight="1" x14ac:dyDescent="0.35">
      <c r="B197" s="5" t="s">
        <v>49</v>
      </c>
      <c r="C197" s="181"/>
      <c r="E197" s="78"/>
      <c r="F197" s="79" t="s">
        <v>79</v>
      </c>
      <c r="G197" s="80" t="e">
        <f>AVERAGE(I197:T197)</f>
        <v>#DIV/0!</v>
      </c>
      <c r="H197" s="80" t="e">
        <f>AVERAGE(J197:U197)</f>
        <v>#DIV/0!</v>
      </c>
      <c r="I197" s="100"/>
      <c r="J197" s="8"/>
      <c r="K197" s="8"/>
      <c r="L197" s="8"/>
      <c r="M197" s="8"/>
      <c r="N197" s="268"/>
      <c r="O197" s="8"/>
      <c r="P197" s="81"/>
      <c r="Q197" s="81"/>
      <c r="R197" s="81"/>
      <c r="S197" s="81"/>
      <c r="T197" s="82"/>
    </row>
    <row r="198" spans="2:20" ht="15" hidden="1" customHeight="1" x14ac:dyDescent="0.35">
      <c r="B198" s="18" t="s">
        <v>48</v>
      </c>
      <c r="C198" s="181"/>
      <c r="E198" s="78"/>
      <c r="F198" s="83" t="s">
        <v>80</v>
      </c>
      <c r="G198" s="84" t="e">
        <f>AVERAGE(I198:T198)</f>
        <v>#DIV/0!</v>
      </c>
      <c r="H198" s="84" t="e">
        <f>AVERAGE(J198:U198)</f>
        <v>#DIV/0!</v>
      </c>
      <c r="I198" s="85"/>
      <c r="J198" s="86"/>
      <c r="K198" s="86"/>
      <c r="L198" s="86"/>
      <c r="M198" s="86"/>
      <c r="N198" s="358"/>
      <c r="O198" s="86"/>
      <c r="P198" s="86"/>
      <c r="Q198" s="86"/>
      <c r="R198" s="86"/>
      <c r="S198" s="86"/>
      <c r="T198" s="87"/>
    </row>
    <row r="199" spans="2:20" ht="15" hidden="1" customHeight="1" x14ac:dyDescent="0.35">
      <c r="B199" s="18" t="s">
        <v>51</v>
      </c>
      <c r="C199" s="181"/>
      <c r="E199" s="78"/>
      <c r="F199" s="83" t="s">
        <v>81</v>
      </c>
      <c r="G199" s="84" t="e">
        <f t="shared" ref="G199:T199" si="22">((ROUND(G197/G198,0)&amp;" : "&amp;"1"))</f>
        <v>#DIV/0!</v>
      </c>
      <c r="H199" s="84" t="e">
        <f t="shared" si="22"/>
        <v>#DIV/0!</v>
      </c>
      <c r="I199" s="85" t="e">
        <f t="shared" si="22"/>
        <v>#DIV/0!</v>
      </c>
      <c r="J199" s="85" t="e">
        <f t="shared" si="22"/>
        <v>#DIV/0!</v>
      </c>
      <c r="K199" s="85" t="e">
        <f t="shared" si="22"/>
        <v>#DIV/0!</v>
      </c>
      <c r="L199" s="85" t="e">
        <f t="shared" si="22"/>
        <v>#DIV/0!</v>
      </c>
      <c r="M199" s="85" t="e">
        <f t="shared" si="22"/>
        <v>#DIV/0!</v>
      </c>
      <c r="N199" s="370" t="e">
        <f t="shared" si="22"/>
        <v>#DIV/0!</v>
      </c>
      <c r="O199" s="85" t="e">
        <f t="shared" si="22"/>
        <v>#DIV/0!</v>
      </c>
      <c r="P199" s="85" t="e">
        <f t="shared" si="22"/>
        <v>#DIV/0!</v>
      </c>
      <c r="Q199" s="85" t="e">
        <f t="shared" si="22"/>
        <v>#DIV/0!</v>
      </c>
      <c r="R199" s="85" t="e">
        <f t="shared" si="22"/>
        <v>#DIV/0!</v>
      </c>
      <c r="S199" s="85" t="e">
        <f t="shared" si="22"/>
        <v>#DIV/0!</v>
      </c>
      <c r="T199" s="102" t="e">
        <f t="shared" si="22"/>
        <v>#DIV/0!</v>
      </c>
    </row>
    <row r="200" spans="2:20" ht="15" hidden="1" customHeight="1" x14ac:dyDescent="0.35">
      <c r="B200" s="10" t="s">
        <v>50</v>
      </c>
      <c r="C200" s="181"/>
      <c r="E200" s="78"/>
      <c r="F200" s="88" t="s">
        <v>57</v>
      </c>
      <c r="G200" s="89" t="s">
        <v>57</v>
      </c>
      <c r="H200" s="89" t="s">
        <v>57</v>
      </c>
      <c r="I200" s="90" t="s">
        <v>57</v>
      </c>
      <c r="J200" s="90" t="s">
        <v>57</v>
      </c>
      <c r="K200" s="90" t="s">
        <v>57</v>
      </c>
      <c r="L200" s="90" t="s">
        <v>57</v>
      </c>
      <c r="M200" s="90" t="s">
        <v>57</v>
      </c>
      <c r="N200" s="371" t="s">
        <v>57</v>
      </c>
      <c r="O200" s="90" t="s">
        <v>57</v>
      </c>
      <c r="P200" s="90" t="s">
        <v>57</v>
      </c>
      <c r="Q200" s="90" t="s">
        <v>57</v>
      </c>
      <c r="R200" s="90" t="s">
        <v>57</v>
      </c>
      <c r="S200" s="90" t="s">
        <v>57</v>
      </c>
      <c r="T200" s="103" t="s">
        <v>57</v>
      </c>
    </row>
    <row r="201" spans="2:20" ht="15" hidden="1" customHeight="1" x14ac:dyDescent="0.35">
      <c r="B201" s="187" t="s">
        <v>47</v>
      </c>
      <c r="C201" s="324"/>
      <c r="D201" s="294"/>
      <c r="E201" s="92"/>
      <c r="F201" s="93"/>
      <c r="G201" s="93"/>
      <c r="H201" s="93"/>
      <c r="I201" s="93"/>
      <c r="J201" s="93"/>
      <c r="K201" s="93"/>
      <c r="L201" s="93"/>
      <c r="M201" s="93"/>
      <c r="N201" s="372"/>
      <c r="O201" s="93"/>
      <c r="P201" s="93"/>
      <c r="Q201" s="93"/>
      <c r="R201" s="93"/>
      <c r="S201" s="93"/>
      <c r="T201" s="94"/>
    </row>
    <row r="202" spans="2:20" ht="15" hidden="1" customHeight="1" x14ac:dyDescent="0.35">
      <c r="B202" s="5" t="s">
        <v>49</v>
      </c>
      <c r="C202" s="181"/>
      <c r="E202" s="78"/>
      <c r="F202" s="79" t="s">
        <v>82</v>
      </c>
      <c r="G202" s="80" t="e">
        <f>AVERAGE(I202:T202)</f>
        <v>#DIV/0!</v>
      </c>
      <c r="H202" s="80" t="e">
        <f>AVERAGE(J202:U202)</f>
        <v>#DIV/0!</v>
      </c>
      <c r="I202" s="107"/>
      <c r="J202" s="81"/>
      <c r="K202" s="81"/>
      <c r="L202" s="81"/>
      <c r="M202" s="81"/>
      <c r="N202" s="268"/>
      <c r="O202" s="81"/>
      <c r="P202" s="81"/>
      <c r="Q202" s="81"/>
      <c r="R202" s="81"/>
      <c r="S202" s="81"/>
      <c r="T202" s="82"/>
    </row>
    <row r="203" spans="2:20" ht="15" hidden="1" customHeight="1" x14ac:dyDescent="0.35">
      <c r="B203" s="18" t="s">
        <v>48</v>
      </c>
      <c r="C203" s="181"/>
      <c r="E203" s="78"/>
      <c r="F203" s="83" t="s">
        <v>83</v>
      </c>
      <c r="G203" s="84" t="e">
        <f>AVERAGE(I203:T203)</f>
        <v>#DIV/0!</v>
      </c>
      <c r="H203" s="84" t="e">
        <f>AVERAGE(J203:U203)</f>
        <v>#DIV/0!</v>
      </c>
      <c r="I203" s="85"/>
      <c r="J203" s="86"/>
      <c r="K203" s="86"/>
      <c r="L203" s="86"/>
      <c r="M203" s="86"/>
      <c r="N203" s="358"/>
      <c r="O203" s="86"/>
      <c r="P203" s="86"/>
      <c r="Q203" s="86"/>
      <c r="R203" s="86"/>
      <c r="S203" s="86"/>
      <c r="T203" s="87"/>
    </row>
    <row r="204" spans="2:20" ht="15" hidden="1" customHeight="1" x14ac:dyDescent="0.35">
      <c r="B204" s="18" t="s">
        <v>51</v>
      </c>
      <c r="C204" s="181"/>
      <c r="E204" s="78"/>
      <c r="F204" s="83" t="s">
        <v>78</v>
      </c>
      <c r="G204" s="84" t="e">
        <f t="shared" ref="G204:T204" si="23">((ROUND(G202/G203,0)&amp;" : "&amp;"1"))</f>
        <v>#DIV/0!</v>
      </c>
      <c r="H204" s="84" t="e">
        <f t="shared" si="23"/>
        <v>#DIV/0!</v>
      </c>
      <c r="I204" s="85" t="e">
        <f t="shared" si="23"/>
        <v>#DIV/0!</v>
      </c>
      <c r="J204" s="85" t="e">
        <f t="shared" si="23"/>
        <v>#DIV/0!</v>
      </c>
      <c r="K204" s="85" t="e">
        <f t="shared" si="23"/>
        <v>#DIV/0!</v>
      </c>
      <c r="L204" s="85" t="e">
        <f t="shared" si="23"/>
        <v>#DIV/0!</v>
      </c>
      <c r="M204" s="85" t="e">
        <f t="shared" si="23"/>
        <v>#DIV/0!</v>
      </c>
      <c r="N204" s="370" t="e">
        <f t="shared" si="23"/>
        <v>#DIV/0!</v>
      </c>
      <c r="O204" s="85" t="e">
        <f t="shared" si="23"/>
        <v>#DIV/0!</v>
      </c>
      <c r="P204" s="85" t="e">
        <f t="shared" si="23"/>
        <v>#DIV/0!</v>
      </c>
      <c r="Q204" s="85" t="e">
        <f t="shared" si="23"/>
        <v>#DIV/0!</v>
      </c>
      <c r="R204" s="85" t="e">
        <f t="shared" si="23"/>
        <v>#DIV/0!</v>
      </c>
      <c r="S204" s="85" t="e">
        <f t="shared" si="23"/>
        <v>#DIV/0!</v>
      </c>
      <c r="T204" s="102" t="e">
        <f t="shared" si="23"/>
        <v>#DIV/0!</v>
      </c>
    </row>
    <row r="205" spans="2:20" ht="15" hidden="1" customHeight="1" x14ac:dyDescent="0.35">
      <c r="B205" s="190" t="s">
        <v>50</v>
      </c>
      <c r="C205" s="318"/>
      <c r="D205" s="289"/>
      <c r="E205" s="108"/>
      <c r="F205" s="109" t="s">
        <v>57</v>
      </c>
      <c r="G205" s="110" t="s">
        <v>57</v>
      </c>
      <c r="H205" s="110" t="s">
        <v>57</v>
      </c>
      <c r="I205" s="111" t="s">
        <v>57</v>
      </c>
      <c r="J205" s="111" t="s">
        <v>57</v>
      </c>
      <c r="K205" s="111" t="s">
        <v>57</v>
      </c>
      <c r="L205" s="111" t="s">
        <v>57</v>
      </c>
      <c r="M205" s="111" t="s">
        <v>57</v>
      </c>
      <c r="N205" s="376" t="s">
        <v>57</v>
      </c>
      <c r="O205" s="111" t="s">
        <v>57</v>
      </c>
      <c r="P205" s="111" t="s">
        <v>57</v>
      </c>
      <c r="Q205" s="111" t="s">
        <v>57</v>
      </c>
      <c r="R205" s="111" t="s">
        <v>57</v>
      </c>
      <c r="S205" s="111" t="s">
        <v>57</v>
      </c>
      <c r="T205" s="112" t="s">
        <v>57</v>
      </c>
    </row>
    <row r="206" spans="2:20" ht="12.5" hidden="1" x14ac:dyDescent="0.35">
      <c r="B206" s="184" t="s">
        <v>23</v>
      </c>
      <c r="C206" s="185"/>
      <c r="D206" s="293"/>
      <c r="E206" s="104"/>
      <c r="F206" s="105"/>
      <c r="G206" s="104"/>
      <c r="H206" s="104"/>
      <c r="I206" s="104"/>
      <c r="J206" s="104"/>
      <c r="K206" s="104"/>
      <c r="L206" s="104"/>
      <c r="M206" s="104"/>
      <c r="N206" s="377"/>
      <c r="O206" s="104"/>
      <c r="P206" s="104"/>
      <c r="Q206" s="104"/>
      <c r="R206" s="104"/>
      <c r="S206" s="104"/>
      <c r="T206" s="113"/>
    </row>
    <row r="207" spans="2:20" ht="15" hidden="1" customHeight="1" x14ac:dyDescent="0.35">
      <c r="B207" s="187" t="s">
        <v>24</v>
      </c>
      <c r="C207" s="324"/>
      <c r="D207" s="294"/>
      <c r="E207" s="92"/>
      <c r="F207" s="93"/>
      <c r="G207" s="92"/>
      <c r="H207" s="92"/>
      <c r="I207" s="92"/>
      <c r="J207" s="92"/>
      <c r="K207" s="92"/>
      <c r="L207" s="92"/>
      <c r="M207" s="92"/>
      <c r="N207" s="378"/>
      <c r="O207" s="92"/>
      <c r="P207" s="92"/>
      <c r="Q207" s="92"/>
      <c r="R207" s="92"/>
      <c r="S207" s="92"/>
      <c r="T207" s="114"/>
    </row>
    <row r="208" spans="2:20" ht="15" hidden="1" customHeight="1" x14ac:dyDescent="0.35">
      <c r="B208" s="5" t="s">
        <v>49</v>
      </c>
      <c r="C208" s="181"/>
      <c r="E208" s="78"/>
      <c r="F208" s="79" t="s">
        <v>84</v>
      </c>
      <c r="G208" s="80" t="e">
        <f>AVERAGE(I208:T208)</f>
        <v>#DIV/0!</v>
      </c>
      <c r="H208" s="80" t="e">
        <f>AVERAGE(J208:U208)</f>
        <v>#DIV/0!</v>
      </c>
      <c r="I208" s="107"/>
      <c r="J208" s="81"/>
      <c r="K208" s="81"/>
      <c r="L208" s="81"/>
      <c r="M208" s="81"/>
      <c r="N208" s="268"/>
      <c r="O208" s="81"/>
      <c r="P208" s="81"/>
      <c r="Q208" s="81"/>
      <c r="R208" s="81"/>
      <c r="S208" s="81"/>
      <c r="T208" s="82"/>
    </row>
    <row r="209" spans="2:20" ht="15" hidden="1" customHeight="1" x14ac:dyDescent="0.35">
      <c r="B209" s="18" t="s">
        <v>48</v>
      </c>
      <c r="C209" s="181"/>
      <c r="E209" s="78"/>
      <c r="F209" s="83" t="s">
        <v>67</v>
      </c>
      <c r="G209" s="84" t="e">
        <f>AVERAGE(I209:T209)</f>
        <v>#DIV/0!</v>
      </c>
      <c r="H209" s="84" t="e">
        <f>AVERAGE(J209:U209)</f>
        <v>#DIV/0!</v>
      </c>
      <c r="I209" s="85"/>
      <c r="J209" s="86"/>
      <c r="K209" s="86"/>
      <c r="L209" s="86"/>
      <c r="M209" s="86"/>
      <c r="N209" s="358"/>
      <c r="O209" s="86"/>
      <c r="P209" s="86"/>
      <c r="Q209" s="86"/>
      <c r="R209" s="86"/>
      <c r="S209" s="86"/>
      <c r="T209" s="87"/>
    </row>
    <row r="210" spans="2:20" ht="15" hidden="1" customHeight="1" x14ac:dyDescent="0.35">
      <c r="B210" s="18" t="s">
        <v>51</v>
      </c>
      <c r="C210" s="181"/>
      <c r="E210" s="78"/>
      <c r="F210" s="83" t="s">
        <v>85</v>
      </c>
      <c r="G210" s="84" t="e">
        <f t="shared" ref="G210:T210" si="24">((ROUND(G208/G209,0)&amp;" : "&amp;"1"))</f>
        <v>#DIV/0!</v>
      </c>
      <c r="H210" s="84" t="e">
        <f t="shared" si="24"/>
        <v>#DIV/0!</v>
      </c>
      <c r="I210" s="85" t="e">
        <f t="shared" si="24"/>
        <v>#DIV/0!</v>
      </c>
      <c r="J210" s="85" t="e">
        <f t="shared" si="24"/>
        <v>#DIV/0!</v>
      </c>
      <c r="K210" s="85" t="e">
        <f t="shared" si="24"/>
        <v>#DIV/0!</v>
      </c>
      <c r="L210" s="85" t="e">
        <f t="shared" si="24"/>
        <v>#DIV/0!</v>
      </c>
      <c r="M210" s="85" t="e">
        <f t="shared" si="24"/>
        <v>#DIV/0!</v>
      </c>
      <c r="N210" s="370" t="e">
        <f t="shared" si="24"/>
        <v>#DIV/0!</v>
      </c>
      <c r="O210" s="85" t="e">
        <f t="shared" si="24"/>
        <v>#DIV/0!</v>
      </c>
      <c r="P210" s="85" t="e">
        <f t="shared" si="24"/>
        <v>#DIV/0!</v>
      </c>
      <c r="Q210" s="85" t="e">
        <f t="shared" si="24"/>
        <v>#DIV/0!</v>
      </c>
      <c r="R210" s="85" t="e">
        <f t="shared" si="24"/>
        <v>#DIV/0!</v>
      </c>
      <c r="S210" s="85" t="e">
        <f t="shared" si="24"/>
        <v>#DIV/0!</v>
      </c>
      <c r="T210" s="87" t="e">
        <f t="shared" si="24"/>
        <v>#DIV/0!</v>
      </c>
    </row>
    <row r="211" spans="2:20" ht="15" hidden="1" customHeight="1" x14ac:dyDescent="0.35">
      <c r="B211" s="10" t="s">
        <v>50</v>
      </c>
      <c r="C211" s="181"/>
      <c r="E211" s="78"/>
      <c r="F211" s="88" t="s">
        <v>58</v>
      </c>
      <c r="G211" s="115" t="s">
        <v>58</v>
      </c>
      <c r="H211" s="115" t="s">
        <v>58</v>
      </c>
      <c r="I211" s="116" t="s">
        <v>58</v>
      </c>
      <c r="J211" s="116" t="s">
        <v>58</v>
      </c>
      <c r="K211" s="116" t="s">
        <v>58</v>
      </c>
      <c r="L211" s="116" t="s">
        <v>58</v>
      </c>
      <c r="M211" s="116" t="s">
        <v>58</v>
      </c>
      <c r="N211" s="371" t="s">
        <v>58</v>
      </c>
      <c r="O211" s="116" t="s">
        <v>58</v>
      </c>
      <c r="P211" s="116" t="s">
        <v>58</v>
      </c>
      <c r="Q211" s="116" t="s">
        <v>58</v>
      </c>
      <c r="R211" s="116" t="s">
        <v>58</v>
      </c>
      <c r="S211" s="116" t="s">
        <v>58</v>
      </c>
      <c r="T211" s="117" t="s">
        <v>58</v>
      </c>
    </row>
    <row r="212" spans="2:20" ht="15" hidden="1" customHeight="1" x14ac:dyDescent="0.35">
      <c r="B212" s="187" t="s">
        <v>36</v>
      </c>
      <c r="C212" s="324"/>
      <c r="D212" s="294"/>
      <c r="E212" s="92"/>
      <c r="F212" s="93"/>
      <c r="G212" s="92"/>
      <c r="H212" s="92"/>
      <c r="I212" s="92"/>
      <c r="J212" s="92"/>
      <c r="K212" s="92"/>
      <c r="L212" s="92"/>
      <c r="M212" s="92"/>
      <c r="N212" s="378"/>
      <c r="O212" s="92"/>
      <c r="P212" s="92"/>
      <c r="Q212" s="92"/>
      <c r="R212" s="92"/>
      <c r="S212" s="92"/>
      <c r="T212" s="114"/>
    </row>
    <row r="213" spans="2:20" ht="15" hidden="1" customHeight="1" x14ac:dyDescent="0.35">
      <c r="B213" s="5" t="s">
        <v>49</v>
      </c>
      <c r="C213" s="181"/>
      <c r="E213" s="78"/>
      <c r="F213" s="79" t="s">
        <v>86</v>
      </c>
      <c r="G213" s="80" t="e">
        <f>AVERAGE(I213:T213)</f>
        <v>#DIV/0!</v>
      </c>
      <c r="H213" s="80" t="e">
        <f>AVERAGE(J213:U213)</f>
        <v>#DIV/0!</v>
      </c>
      <c r="I213" s="107"/>
      <c r="J213" s="81"/>
      <c r="K213" s="81"/>
      <c r="L213" s="81"/>
      <c r="M213" s="81"/>
      <c r="N213" s="268"/>
      <c r="O213" s="81"/>
      <c r="P213" s="81"/>
      <c r="Q213" s="81"/>
      <c r="R213" s="81"/>
      <c r="S213" s="81"/>
      <c r="T213" s="82"/>
    </row>
    <row r="214" spans="2:20" ht="15" hidden="1" customHeight="1" x14ac:dyDescent="0.35">
      <c r="B214" s="18" t="s">
        <v>48</v>
      </c>
      <c r="C214" s="181"/>
      <c r="E214" s="78"/>
      <c r="F214" s="83" t="s">
        <v>87</v>
      </c>
      <c r="G214" s="84" t="e">
        <f>AVERAGE(I214:T214)</f>
        <v>#DIV/0!</v>
      </c>
      <c r="H214" s="84" t="e">
        <f>AVERAGE(J214:U214)</f>
        <v>#DIV/0!</v>
      </c>
      <c r="I214" s="85"/>
      <c r="J214" s="86"/>
      <c r="K214" s="86"/>
      <c r="L214" s="86"/>
      <c r="M214" s="86"/>
      <c r="N214" s="358"/>
      <c r="O214" s="86"/>
      <c r="P214" s="86"/>
      <c r="Q214" s="86"/>
      <c r="R214" s="86"/>
      <c r="S214" s="86"/>
      <c r="T214" s="87"/>
    </row>
    <row r="215" spans="2:20" ht="15" hidden="1" customHeight="1" x14ac:dyDescent="0.35">
      <c r="B215" s="18" t="s">
        <v>51</v>
      </c>
      <c r="C215" s="181"/>
      <c r="E215" s="78"/>
      <c r="F215" s="83" t="s">
        <v>58</v>
      </c>
      <c r="G215" s="84" t="e">
        <f t="shared" ref="G215:T215" si="25">((ROUND(G213/G214,0)&amp;" : "&amp;"1"))</f>
        <v>#DIV/0!</v>
      </c>
      <c r="H215" s="84" t="e">
        <f t="shared" si="25"/>
        <v>#DIV/0!</v>
      </c>
      <c r="I215" s="85" t="e">
        <f t="shared" si="25"/>
        <v>#DIV/0!</v>
      </c>
      <c r="J215" s="85" t="e">
        <f t="shared" si="25"/>
        <v>#DIV/0!</v>
      </c>
      <c r="K215" s="85" t="e">
        <f t="shared" si="25"/>
        <v>#DIV/0!</v>
      </c>
      <c r="L215" s="85" t="e">
        <f t="shared" si="25"/>
        <v>#DIV/0!</v>
      </c>
      <c r="M215" s="85" t="e">
        <f t="shared" si="25"/>
        <v>#DIV/0!</v>
      </c>
      <c r="N215" s="370" t="e">
        <f t="shared" si="25"/>
        <v>#DIV/0!</v>
      </c>
      <c r="O215" s="85" t="e">
        <f t="shared" si="25"/>
        <v>#DIV/0!</v>
      </c>
      <c r="P215" s="85" t="e">
        <f t="shared" si="25"/>
        <v>#DIV/0!</v>
      </c>
      <c r="Q215" s="85" t="e">
        <f t="shared" si="25"/>
        <v>#DIV/0!</v>
      </c>
      <c r="R215" s="85" t="e">
        <f t="shared" si="25"/>
        <v>#DIV/0!</v>
      </c>
      <c r="S215" s="85" t="e">
        <f t="shared" si="25"/>
        <v>#DIV/0!</v>
      </c>
      <c r="T215" s="87" t="e">
        <f t="shared" si="25"/>
        <v>#DIV/0!</v>
      </c>
    </row>
    <row r="216" spans="2:20" ht="15" hidden="1" customHeight="1" x14ac:dyDescent="0.35">
      <c r="B216" s="10" t="s">
        <v>50</v>
      </c>
      <c r="C216" s="181"/>
      <c r="E216" s="78"/>
      <c r="F216" s="88" t="s">
        <v>59</v>
      </c>
      <c r="G216" s="115" t="s">
        <v>59</v>
      </c>
      <c r="H216" s="115" t="s">
        <v>59</v>
      </c>
      <c r="I216" s="116" t="s">
        <v>59</v>
      </c>
      <c r="J216" s="116" t="s">
        <v>59</v>
      </c>
      <c r="K216" s="116" t="s">
        <v>59</v>
      </c>
      <c r="L216" s="116" t="s">
        <v>59</v>
      </c>
      <c r="M216" s="116" t="s">
        <v>59</v>
      </c>
      <c r="N216" s="371" t="s">
        <v>59</v>
      </c>
      <c r="O216" s="116" t="s">
        <v>59</v>
      </c>
      <c r="P216" s="116" t="s">
        <v>59</v>
      </c>
      <c r="Q216" s="116" t="s">
        <v>59</v>
      </c>
      <c r="R216" s="116" t="s">
        <v>59</v>
      </c>
      <c r="S216" s="116" t="s">
        <v>59</v>
      </c>
      <c r="T216" s="117" t="s">
        <v>59</v>
      </c>
    </row>
    <row r="217" spans="2:20" ht="15" hidden="1" customHeight="1" x14ac:dyDescent="0.35">
      <c r="B217" s="187" t="s">
        <v>66</v>
      </c>
      <c r="C217" s="324"/>
      <c r="D217" s="294"/>
      <c r="E217" s="92"/>
      <c r="F217" s="93"/>
      <c r="G217" s="92"/>
      <c r="H217" s="92"/>
      <c r="I217" s="92"/>
      <c r="J217" s="92"/>
      <c r="K217" s="92"/>
      <c r="L217" s="92"/>
      <c r="M217" s="92"/>
      <c r="N217" s="378"/>
      <c r="O217" s="92"/>
      <c r="P217" s="92"/>
      <c r="Q217" s="92"/>
      <c r="R217" s="92"/>
      <c r="S217" s="92"/>
      <c r="T217" s="114"/>
    </row>
    <row r="218" spans="2:20" ht="15" hidden="1" customHeight="1" x14ac:dyDescent="0.35">
      <c r="B218" s="5" t="s">
        <v>49</v>
      </c>
      <c r="C218" s="181"/>
      <c r="E218" s="118"/>
      <c r="F218" s="79" t="s">
        <v>88</v>
      </c>
      <c r="G218" s="80" t="e">
        <f>AVERAGE(I218:T218)</f>
        <v>#DIV/0!</v>
      </c>
      <c r="H218" s="80" t="e">
        <f>AVERAGE(J218:U218)</f>
        <v>#DIV/0!</v>
      </c>
      <c r="I218" s="107"/>
      <c r="J218" s="81"/>
      <c r="K218" s="81"/>
      <c r="L218" s="81"/>
      <c r="M218" s="119"/>
      <c r="N218" s="268"/>
      <c r="O218" s="81"/>
      <c r="P218" s="81"/>
      <c r="Q218" s="81"/>
      <c r="R218" s="81"/>
      <c r="S218" s="81"/>
      <c r="T218" s="82"/>
    </row>
    <row r="219" spans="2:20" ht="15" hidden="1" customHeight="1" x14ac:dyDescent="0.35">
      <c r="B219" s="18" t="s">
        <v>48</v>
      </c>
      <c r="C219" s="181"/>
      <c r="E219" s="78"/>
      <c r="F219" s="83" t="s">
        <v>74</v>
      </c>
      <c r="G219" s="84" t="e">
        <f>AVERAGE(I219:T219)</f>
        <v>#DIV/0!</v>
      </c>
      <c r="H219" s="84" t="e">
        <f>AVERAGE(J219:U219)</f>
        <v>#DIV/0!</v>
      </c>
      <c r="I219" s="85"/>
      <c r="J219" s="86"/>
      <c r="K219" s="86"/>
      <c r="L219" s="86"/>
      <c r="M219" s="119"/>
      <c r="N219" s="358"/>
      <c r="O219" s="86"/>
      <c r="P219" s="86"/>
      <c r="Q219" s="86"/>
      <c r="R219" s="86"/>
      <c r="S219" s="86"/>
      <c r="T219" s="87"/>
    </row>
    <row r="220" spans="2:20" ht="15" hidden="1" customHeight="1" x14ac:dyDescent="0.35">
      <c r="B220" s="18" t="s">
        <v>51</v>
      </c>
      <c r="C220" s="181"/>
      <c r="E220" s="78"/>
      <c r="F220" s="83" t="s">
        <v>89</v>
      </c>
      <c r="G220" s="84" t="e">
        <f t="shared" ref="G220:T220" si="26">((ROUND(G218/G219,0)&amp;" : "&amp;"1"))</f>
        <v>#DIV/0!</v>
      </c>
      <c r="H220" s="84" t="e">
        <f t="shared" si="26"/>
        <v>#DIV/0!</v>
      </c>
      <c r="I220" s="85" t="e">
        <f t="shared" si="26"/>
        <v>#DIV/0!</v>
      </c>
      <c r="J220" s="85" t="e">
        <f t="shared" si="26"/>
        <v>#DIV/0!</v>
      </c>
      <c r="K220" s="85" t="e">
        <f t="shared" si="26"/>
        <v>#DIV/0!</v>
      </c>
      <c r="L220" s="85" t="e">
        <f t="shared" si="26"/>
        <v>#DIV/0!</v>
      </c>
      <c r="M220" s="85" t="e">
        <f t="shared" si="26"/>
        <v>#DIV/0!</v>
      </c>
      <c r="N220" s="370" t="e">
        <f t="shared" si="26"/>
        <v>#DIV/0!</v>
      </c>
      <c r="O220" s="85" t="e">
        <f t="shared" si="26"/>
        <v>#DIV/0!</v>
      </c>
      <c r="P220" s="85" t="e">
        <f t="shared" si="26"/>
        <v>#DIV/0!</v>
      </c>
      <c r="Q220" s="85" t="e">
        <f t="shared" si="26"/>
        <v>#DIV/0!</v>
      </c>
      <c r="R220" s="85" t="e">
        <f t="shared" si="26"/>
        <v>#DIV/0!</v>
      </c>
      <c r="S220" s="85" t="e">
        <f t="shared" si="26"/>
        <v>#DIV/0!</v>
      </c>
      <c r="T220" s="102" t="e">
        <f t="shared" si="26"/>
        <v>#DIV/0!</v>
      </c>
    </row>
    <row r="221" spans="2:20" ht="15" hidden="1" customHeight="1" x14ac:dyDescent="0.35">
      <c r="B221" s="10" t="s">
        <v>50</v>
      </c>
      <c r="C221" s="181"/>
      <c r="E221" s="78"/>
      <c r="F221" s="88" t="s">
        <v>60</v>
      </c>
      <c r="G221" s="115" t="s">
        <v>60</v>
      </c>
      <c r="H221" s="115" t="s">
        <v>60</v>
      </c>
      <c r="I221" s="116" t="s">
        <v>60</v>
      </c>
      <c r="J221" s="116" t="s">
        <v>60</v>
      </c>
      <c r="K221" s="116" t="s">
        <v>60</v>
      </c>
      <c r="L221" s="116" t="s">
        <v>60</v>
      </c>
      <c r="M221" s="116" t="s">
        <v>60</v>
      </c>
      <c r="N221" s="371" t="s">
        <v>60</v>
      </c>
      <c r="O221" s="116" t="s">
        <v>60</v>
      </c>
      <c r="P221" s="116" t="s">
        <v>60</v>
      </c>
      <c r="Q221" s="116" t="s">
        <v>60</v>
      </c>
      <c r="R221" s="116" t="s">
        <v>60</v>
      </c>
      <c r="S221" s="116" t="s">
        <v>60</v>
      </c>
      <c r="T221" s="120" t="s">
        <v>60</v>
      </c>
    </row>
    <row r="222" spans="2:20" ht="15" hidden="1" customHeight="1" x14ac:dyDescent="0.35">
      <c r="B222" s="187" t="s">
        <v>64</v>
      </c>
      <c r="C222" s="324"/>
      <c r="D222" s="294"/>
      <c r="E222" s="92"/>
      <c r="F222" s="93"/>
      <c r="G222" s="121"/>
      <c r="H222" s="121"/>
      <c r="I222" s="92"/>
      <c r="J222" s="92"/>
      <c r="K222" s="92"/>
      <c r="L222" s="92"/>
      <c r="M222" s="92"/>
      <c r="N222" s="378"/>
      <c r="O222" s="92"/>
      <c r="P222" s="92"/>
      <c r="Q222" s="92"/>
      <c r="R222" s="92"/>
      <c r="S222" s="92"/>
      <c r="T222" s="114"/>
    </row>
    <row r="223" spans="2:20" ht="15" hidden="1" customHeight="1" x14ac:dyDescent="0.35">
      <c r="B223" s="5" t="s">
        <v>49</v>
      </c>
      <c r="C223" s="181"/>
      <c r="E223" s="78"/>
      <c r="F223" s="79" t="s">
        <v>90</v>
      </c>
      <c r="G223" s="80" t="e">
        <f>AVERAGE(I223:O223)</f>
        <v>#DIV/0!</v>
      </c>
      <c r="H223" s="80" t="e">
        <f>AVERAGE(J223:P223)</f>
        <v>#DIV/0!</v>
      </c>
      <c r="I223" s="107"/>
      <c r="J223" s="81"/>
      <c r="K223" s="81"/>
      <c r="L223" s="81"/>
      <c r="M223" s="81"/>
      <c r="N223" s="268"/>
      <c r="O223" s="81"/>
      <c r="P223" s="81"/>
      <c r="Q223" s="81"/>
      <c r="R223" s="81"/>
      <c r="S223" s="81"/>
      <c r="T223" s="82"/>
    </row>
    <row r="224" spans="2:20" ht="15" hidden="1" customHeight="1" x14ac:dyDescent="0.35">
      <c r="B224" s="18" t="s">
        <v>48</v>
      </c>
      <c r="C224" s="181"/>
      <c r="E224" s="78"/>
      <c r="F224" s="83" t="s">
        <v>91</v>
      </c>
      <c r="G224" s="84" t="e">
        <f>AVERAGE(I224:T224)</f>
        <v>#DIV/0!</v>
      </c>
      <c r="H224" s="84" t="e">
        <f>AVERAGE(J224:U224)</f>
        <v>#DIV/0!</v>
      </c>
      <c r="I224" s="85"/>
      <c r="J224" s="86"/>
      <c r="K224" s="86"/>
      <c r="L224" s="86"/>
      <c r="M224" s="86"/>
      <c r="N224" s="358"/>
      <c r="O224" s="86"/>
      <c r="P224" s="86"/>
      <c r="Q224" s="86"/>
      <c r="R224" s="86"/>
      <c r="S224" s="86"/>
      <c r="T224" s="87"/>
    </row>
    <row r="225" spans="2:20" ht="15" hidden="1" customHeight="1" x14ac:dyDescent="0.35">
      <c r="B225" s="18" t="s">
        <v>51</v>
      </c>
      <c r="C225" s="181"/>
      <c r="E225" s="78"/>
      <c r="F225" s="83" t="s">
        <v>92</v>
      </c>
      <c r="G225" s="84" t="e">
        <f t="shared" ref="G225:T225" si="27">((ROUND(G223/G224,0)&amp;" : "&amp;"1"))</f>
        <v>#DIV/0!</v>
      </c>
      <c r="H225" s="84" t="e">
        <f t="shared" si="27"/>
        <v>#DIV/0!</v>
      </c>
      <c r="I225" s="85" t="e">
        <f t="shared" si="27"/>
        <v>#DIV/0!</v>
      </c>
      <c r="J225" s="85" t="e">
        <f t="shared" si="27"/>
        <v>#DIV/0!</v>
      </c>
      <c r="K225" s="85" t="e">
        <f t="shared" si="27"/>
        <v>#DIV/0!</v>
      </c>
      <c r="L225" s="85" t="e">
        <f t="shared" si="27"/>
        <v>#DIV/0!</v>
      </c>
      <c r="M225" s="85" t="e">
        <f t="shared" si="27"/>
        <v>#DIV/0!</v>
      </c>
      <c r="N225" s="370" t="e">
        <f t="shared" si="27"/>
        <v>#DIV/0!</v>
      </c>
      <c r="O225" s="85" t="e">
        <f t="shared" si="27"/>
        <v>#DIV/0!</v>
      </c>
      <c r="P225" s="85" t="e">
        <f t="shared" si="27"/>
        <v>#DIV/0!</v>
      </c>
      <c r="Q225" s="85" t="e">
        <f t="shared" si="27"/>
        <v>#DIV/0!</v>
      </c>
      <c r="R225" s="85" t="e">
        <f t="shared" si="27"/>
        <v>#DIV/0!</v>
      </c>
      <c r="S225" s="85" t="e">
        <f t="shared" si="27"/>
        <v>#DIV/0!</v>
      </c>
      <c r="T225" s="102" t="e">
        <f t="shared" si="27"/>
        <v>#DIV/0!</v>
      </c>
    </row>
    <row r="226" spans="2:20" ht="15" hidden="1" customHeight="1" x14ac:dyDescent="0.35">
      <c r="B226" s="10" t="s">
        <v>50</v>
      </c>
      <c r="C226" s="181"/>
      <c r="E226" s="78"/>
      <c r="F226" s="88" t="s">
        <v>68</v>
      </c>
      <c r="G226" s="89" t="s">
        <v>68</v>
      </c>
      <c r="H226" s="89" t="s">
        <v>68</v>
      </c>
      <c r="I226" s="90" t="s">
        <v>68</v>
      </c>
      <c r="J226" s="90" t="s">
        <v>68</v>
      </c>
      <c r="K226" s="90" t="s">
        <v>68</v>
      </c>
      <c r="L226" s="90" t="s">
        <v>68</v>
      </c>
      <c r="M226" s="90" t="s">
        <v>68</v>
      </c>
      <c r="N226" s="371" t="s">
        <v>68</v>
      </c>
      <c r="O226" s="90" t="s">
        <v>68</v>
      </c>
      <c r="P226" s="90" t="s">
        <v>68</v>
      </c>
      <c r="Q226" s="90" t="s">
        <v>68</v>
      </c>
      <c r="R226" s="90" t="s">
        <v>68</v>
      </c>
      <c r="S226" s="90" t="s">
        <v>68</v>
      </c>
      <c r="T226" s="103" t="s">
        <v>68</v>
      </c>
    </row>
    <row r="227" spans="2:20" ht="15" hidden="1" customHeight="1" x14ac:dyDescent="0.35">
      <c r="B227" s="187" t="s">
        <v>42</v>
      </c>
      <c r="C227" s="324"/>
      <c r="D227" s="294"/>
      <c r="E227" s="92"/>
      <c r="F227" s="93"/>
      <c r="G227" s="121"/>
      <c r="H227" s="121"/>
      <c r="I227" s="92"/>
      <c r="J227" s="92"/>
      <c r="K227" s="92"/>
      <c r="L227" s="92"/>
      <c r="M227" s="92"/>
      <c r="N227" s="378"/>
      <c r="O227" s="92"/>
      <c r="P227" s="92"/>
      <c r="Q227" s="92"/>
      <c r="R227" s="92"/>
      <c r="S227" s="92"/>
      <c r="T227" s="114"/>
    </row>
    <row r="228" spans="2:20" ht="15" hidden="1" customHeight="1" x14ac:dyDescent="0.35">
      <c r="B228" s="5" t="s">
        <v>49</v>
      </c>
      <c r="C228" s="181"/>
      <c r="E228" s="78"/>
      <c r="F228" s="79" t="s">
        <v>93</v>
      </c>
      <c r="G228" s="80" t="e">
        <f>AVERAGE(I228:T228)</f>
        <v>#DIV/0!</v>
      </c>
      <c r="H228" s="80" t="e">
        <f>AVERAGE(J228:U228)</f>
        <v>#DIV/0!</v>
      </c>
      <c r="I228" s="107"/>
      <c r="J228" s="81"/>
      <c r="K228" s="81"/>
      <c r="L228" s="81"/>
      <c r="M228" s="81"/>
      <c r="N228" s="268"/>
      <c r="O228" s="81"/>
      <c r="P228" s="81"/>
      <c r="Q228" s="81"/>
      <c r="R228" s="81"/>
      <c r="S228" s="81"/>
      <c r="T228" s="82"/>
    </row>
    <row r="229" spans="2:20" ht="15" hidden="1" customHeight="1" x14ac:dyDescent="0.35">
      <c r="B229" s="18" t="s">
        <v>48</v>
      </c>
      <c r="C229" s="181"/>
      <c r="E229" s="78"/>
      <c r="F229" s="83" t="s">
        <v>83</v>
      </c>
      <c r="G229" s="84" t="e">
        <f>AVERAGE(I229:T229)</f>
        <v>#DIV/0!</v>
      </c>
      <c r="H229" s="84" t="e">
        <f>AVERAGE(J229:U229)</f>
        <v>#DIV/0!</v>
      </c>
      <c r="I229" s="85"/>
      <c r="J229" s="86"/>
      <c r="K229" s="86"/>
      <c r="L229" s="86"/>
      <c r="M229" s="86"/>
      <c r="N229" s="358"/>
      <c r="O229" s="86"/>
      <c r="P229" s="86"/>
      <c r="Q229" s="86"/>
      <c r="R229" s="86"/>
      <c r="S229" s="86"/>
      <c r="T229" s="87"/>
    </row>
    <row r="230" spans="2:20" ht="15" hidden="1" customHeight="1" x14ac:dyDescent="0.35">
      <c r="B230" s="18" t="s">
        <v>51</v>
      </c>
      <c r="C230" s="181"/>
      <c r="E230" s="78"/>
      <c r="F230" s="83" t="s">
        <v>81</v>
      </c>
      <c r="G230" s="84" t="e">
        <f t="shared" ref="G230:T230" si="28">((ROUND(G228/G229,0)&amp;" : "&amp;"1"))</f>
        <v>#DIV/0!</v>
      </c>
      <c r="H230" s="84" t="e">
        <f t="shared" si="28"/>
        <v>#DIV/0!</v>
      </c>
      <c r="I230" s="85" t="e">
        <f t="shared" si="28"/>
        <v>#DIV/0!</v>
      </c>
      <c r="J230" s="85" t="e">
        <f t="shared" si="28"/>
        <v>#DIV/0!</v>
      </c>
      <c r="K230" s="85" t="e">
        <f t="shared" si="28"/>
        <v>#DIV/0!</v>
      </c>
      <c r="L230" s="85" t="e">
        <f t="shared" si="28"/>
        <v>#DIV/0!</v>
      </c>
      <c r="M230" s="85" t="e">
        <f t="shared" si="28"/>
        <v>#DIV/0!</v>
      </c>
      <c r="N230" s="370" t="e">
        <f t="shared" si="28"/>
        <v>#DIV/0!</v>
      </c>
      <c r="O230" s="85" t="e">
        <f t="shared" si="28"/>
        <v>#DIV/0!</v>
      </c>
      <c r="P230" s="85" t="e">
        <f t="shared" si="28"/>
        <v>#DIV/0!</v>
      </c>
      <c r="Q230" s="85" t="e">
        <f t="shared" si="28"/>
        <v>#DIV/0!</v>
      </c>
      <c r="R230" s="85" t="e">
        <f t="shared" si="28"/>
        <v>#DIV/0!</v>
      </c>
      <c r="S230" s="85" t="e">
        <f t="shared" si="28"/>
        <v>#DIV/0!</v>
      </c>
      <c r="T230" s="102" t="e">
        <f t="shared" si="28"/>
        <v>#DIV/0!</v>
      </c>
    </row>
    <row r="231" spans="2:20" ht="15" hidden="1" customHeight="1" x14ac:dyDescent="0.35">
      <c r="B231" s="10" t="s">
        <v>50</v>
      </c>
      <c r="C231" s="181"/>
      <c r="E231" s="78"/>
      <c r="F231" s="88" t="s">
        <v>69</v>
      </c>
      <c r="G231" s="89" t="s">
        <v>69</v>
      </c>
      <c r="H231" s="89" t="s">
        <v>69</v>
      </c>
      <c r="I231" s="90" t="s">
        <v>69</v>
      </c>
      <c r="J231" s="90" t="s">
        <v>69</v>
      </c>
      <c r="K231" s="90" t="s">
        <v>69</v>
      </c>
      <c r="L231" s="90" t="s">
        <v>69</v>
      </c>
      <c r="M231" s="90" t="s">
        <v>69</v>
      </c>
      <c r="N231" s="371" t="s">
        <v>69</v>
      </c>
      <c r="O231" s="90" t="s">
        <v>69</v>
      </c>
      <c r="P231" s="90" t="s">
        <v>69</v>
      </c>
      <c r="Q231" s="90" t="s">
        <v>69</v>
      </c>
      <c r="R231" s="90" t="s">
        <v>69</v>
      </c>
      <c r="S231" s="90" t="s">
        <v>69</v>
      </c>
      <c r="T231" s="103" t="s">
        <v>69</v>
      </c>
    </row>
    <row r="232" spans="2:20" ht="15" hidden="1" customHeight="1" x14ac:dyDescent="0.35">
      <c r="B232" s="187" t="s">
        <v>65</v>
      </c>
      <c r="C232" s="324"/>
      <c r="D232" s="294"/>
      <c r="E232" s="92"/>
      <c r="F232" s="93"/>
      <c r="G232" s="121"/>
      <c r="H232" s="121"/>
      <c r="I232" s="92"/>
      <c r="J232" s="92"/>
      <c r="K232" s="92"/>
      <c r="L232" s="92"/>
      <c r="M232" s="92"/>
      <c r="N232" s="378"/>
      <c r="O232" s="92"/>
      <c r="P232" s="92"/>
      <c r="Q232" s="92"/>
      <c r="R232" s="92"/>
      <c r="S232" s="92"/>
      <c r="T232" s="114"/>
    </row>
    <row r="233" spans="2:20" ht="15" hidden="1" customHeight="1" x14ac:dyDescent="0.35">
      <c r="B233" s="5" t="s">
        <v>49</v>
      </c>
      <c r="C233" s="181"/>
      <c r="E233" s="78"/>
      <c r="F233" s="79" t="s">
        <v>94</v>
      </c>
      <c r="G233" s="80" t="e">
        <f>AVERAGE(I233:T233)</f>
        <v>#DIV/0!</v>
      </c>
      <c r="H233" s="80" t="e">
        <f>AVERAGE(J233:U233)</f>
        <v>#DIV/0!</v>
      </c>
      <c r="I233" s="107"/>
      <c r="J233" s="81"/>
      <c r="K233" s="81"/>
      <c r="L233" s="81"/>
      <c r="M233" s="81"/>
      <c r="N233" s="268"/>
      <c r="O233" s="81"/>
      <c r="P233" s="81"/>
      <c r="Q233" s="81"/>
      <c r="R233" s="81"/>
      <c r="S233" s="81"/>
      <c r="T233" s="82"/>
    </row>
    <row r="234" spans="2:20" ht="15" hidden="1" customHeight="1" x14ac:dyDescent="0.35">
      <c r="B234" s="18" t="s">
        <v>48</v>
      </c>
      <c r="C234" s="181"/>
      <c r="E234" s="78"/>
      <c r="F234" s="83" t="s">
        <v>91</v>
      </c>
      <c r="G234" s="84" t="e">
        <f>AVERAGE(I234:T234)</f>
        <v>#DIV/0!</v>
      </c>
      <c r="H234" s="84" t="e">
        <f>AVERAGE(J234:U234)</f>
        <v>#DIV/0!</v>
      </c>
      <c r="I234" s="85"/>
      <c r="J234" s="86"/>
      <c r="K234" s="86"/>
      <c r="L234" s="86"/>
      <c r="M234" s="86"/>
      <c r="N234" s="358"/>
      <c r="O234" s="86"/>
      <c r="P234" s="86"/>
      <c r="Q234" s="86"/>
      <c r="R234" s="86"/>
      <c r="S234" s="86"/>
      <c r="T234" s="87"/>
    </row>
    <row r="235" spans="2:20" ht="15" hidden="1" customHeight="1" x14ac:dyDescent="0.35">
      <c r="B235" s="18" t="s">
        <v>51</v>
      </c>
      <c r="C235" s="181"/>
      <c r="E235" s="78"/>
      <c r="F235" s="83" t="s">
        <v>92</v>
      </c>
      <c r="G235" s="84" t="e">
        <f t="shared" ref="G235:T235" si="29">((ROUND(G233/G234,0)&amp;" : "&amp;"1"))</f>
        <v>#DIV/0!</v>
      </c>
      <c r="H235" s="84" t="e">
        <f t="shared" si="29"/>
        <v>#DIV/0!</v>
      </c>
      <c r="I235" s="85" t="e">
        <f t="shared" si="29"/>
        <v>#DIV/0!</v>
      </c>
      <c r="J235" s="85" t="e">
        <f t="shared" si="29"/>
        <v>#DIV/0!</v>
      </c>
      <c r="K235" s="85" t="e">
        <f t="shared" si="29"/>
        <v>#DIV/0!</v>
      </c>
      <c r="L235" s="85" t="e">
        <f t="shared" si="29"/>
        <v>#DIV/0!</v>
      </c>
      <c r="M235" s="85" t="e">
        <f t="shared" si="29"/>
        <v>#DIV/0!</v>
      </c>
      <c r="N235" s="370" t="e">
        <f t="shared" si="29"/>
        <v>#DIV/0!</v>
      </c>
      <c r="O235" s="85" t="e">
        <f t="shared" si="29"/>
        <v>#DIV/0!</v>
      </c>
      <c r="P235" s="85" t="e">
        <f t="shared" si="29"/>
        <v>#DIV/0!</v>
      </c>
      <c r="Q235" s="85" t="e">
        <f t="shared" si="29"/>
        <v>#DIV/0!</v>
      </c>
      <c r="R235" s="85" t="e">
        <f t="shared" si="29"/>
        <v>#DIV/0!</v>
      </c>
      <c r="S235" s="85" t="e">
        <f t="shared" si="29"/>
        <v>#DIV/0!</v>
      </c>
      <c r="T235" s="102" t="e">
        <f t="shared" si="29"/>
        <v>#DIV/0!</v>
      </c>
    </row>
    <row r="236" spans="2:20" ht="15" hidden="1" customHeight="1" x14ac:dyDescent="0.35">
      <c r="B236" s="190" t="s">
        <v>50</v>
      </c>
      <c r="C236" s="318"/>
      <c r="D236" s="289"/>
      <c r="E236" s="108"/>
      <c r="F236" s="109" t="s">
        <v>68</v>
      </c>
      <c r="G236" s="110" t="s">
        <v>68</v>
      </c>
      <c r="H236" s="110" t="s">
        <v>68</v>
      </c>
      <c r="I236" s="111" t="s">
        <v>60</v>
      </c>
      <c r="J236" s="111" t="s">
        <v>60</v>
      </c>
      <c r="K236" s="111" t="s">
        <v>60</v>
      </c>
      <c r="L236" s="111" t="s">
        <v>60</v>
      </c>
      <c r="M236" s="111" t="s">
        <v>60</v>
      </c>
      <c r="N236" s="376" t="s">
        <v>60</v>
      </c>
      <c r="O236" s="111" t="s">
        <v>60</v>
      </c>
      <c r="P236" s="111" t="s">
        <v>60</v>
      </c>
      <c r="Q236" s="122" t="s">
        <v>68</v>
      </c>
      <c r="R236" s="122" t="s">
        <v>68</v>
      </c>
      <c r="S236" s="122" t="s">
        <v>68</v>
      </c>
      <c r="T236" s="123" t="s">
        <v>68</v>
      </c>
    </row>
    <row r="237" spans="2:20" hidden="1" x14ac:dyDescent="0.35"/>
    <row r="238" spans="2:20" hidden="1" x14ac:dyDescent="0.35"/>
  </sheetData>
  <mergeCells count="4">
    <mergeCell ref="E1:F1"/>
    <mergeCell ref="B5:T5"/>
    <mergeCell ref="G48:G49"/>
    <mergeCell ref="H48:H49"/>
  </mergeCells>
  <pageMargins left="0.25" right="0.25" top="0.75" bottom="0.75" header="0.3" footer="0.3"/>
  <pageSetup scale="4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FY26</vt:lpstr>
      <vt:lpstr>FY25</vt:lpstr>
      <vt:lpstr>FY24</vt:lpstr>
    </vt:vector>
  </TitlesOfParts>
  <Company>Durham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Wisnowski, Brian</cp:lastModifiedBy>
  <cp:lastPrinted>2018-08-09T21:54:00Z</cp:lastPrinted>
  <dcterms:created xsi:type="dcterms:W3CDTF">2014-05-27T17:47:39Z</dcterms:created>
  <dcterms:modified xsi:type="dcterms:W3CDTF">2026-07-21T19:47:41Z</dcterms:modified>
</cp:coreProperties>
</file>